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У 2025_2029" sheetId="2" r:id="rId1"/>
    <sheet name="установка ПУ 2025_2029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2" l="1"/>
  <c r="F102" i="2" s="1"/>
  <c r="H102" i="2" s="1"/>
  <c r="I102" i="2" s="1"/>
  <c r="F101" i="2"/>
  <c r="H101" i="2" s="1"/>
  <c r="I101" i="2" s="1"/>
  <c r="E101" i="2"/>
  <c r="F100" i="2"/>
  <c r="H100" i="2" s="1"/>
  <c r="I100" i="2" s="1"/>
  <c r="E100" i="2"/>
  <c r="E99" i="2"/>
  <c r="F99" i="2" s="1"/>
  <c r="H99" i="2" s="1"/>
  <c r="I99" i="2" s="1"/>
  <c r="F98" i="2"/>
  <c r="H98" i="2" s="1"/>
  <c r="I98" i="2" s="1"/>
  <c r="E98" i="2"/>
  <c r="F97" i="2"/>
  <c r="H97" i="2" s="1"/>
  <c r="I97" i="2" s="1"/>
  <c r="E97" i="2"/>
  <c r="J96" i="2"/>
  <c r="E96" i="2"/>
  <c r="F96" i="2" s="1"/>
  <c r="H96" i="2" s="1"/>
  <c r="I96" i="2" s="1"/>
  <c r="H95" i="2"/>
  <c r="I95" i="2" s="1"/>
  <c r="F95" i="2"/>
  <c r="E95" i="2"/>
  <c r="E94" i="2"/>
  <c r="F94" i="2" s="1"/>
  <c r="H94" i="2" s="1"/>
  <c r="I94" i="2" s="1"/>
  <c r="E93" i="2"/>
  <c r="F93" i="2" s="1"/>
  <c r="H93" i="2" s="1"/>
  <c r="I93" i="2" s="1"/>
  <c r="H92" i="2"/>
  <c r="I92" i="2" s="1"/>
  <c r="F92" i="2"/>
  <c r="E92" i="2"/>
  <c r="E91" i="2"/>
  <c r="F91" i="2" s="1"/>
  <c r="H91" i="2" s="1"/>
  <c r="I91" i="2" s="1"/>
  <c r="E90" i="2"/>
  <c r="F90" i="2" s="1"/>
  <c r="H90" i="2" s="1"/>
  <c r="I90" i="2" s="1"/>
  <c r="H89" i="2"/>
  <c r="I89" i="2" s="1"/>
  <c r="F89" i="2"/>
  <c r="E89" i="2"/>
  <c r="E88" i="2"/>
  <c r="F88" i="2" s="1"/>
  <c r="H88" i="2" s="1"/>
  <c r="I88" i="2" s="1"/>
  <c r="E87" i="2"/>
  <c r="F87" i="2" s="1"/>
  <c r="H87" i="2" s="1"/>
  <c r="E84" i="2"/>
  <c r="F84" i="2" s="1"/>
  <c r="H84" i="2" s="1"/>
  <c r="I84" i="2" s="1"/>
  <c r="H83" i="2"/>
  <c r="I83" i="2" s="1"/>
  <c r="F83" i="2"/>
  <c r="E83" i="2"/>
  <c r="E82" i="2"/>
  <c r="F82" i="2" s="1"/>
  <c r="H82" i="2" s="1"/>
  <c r="I82" i="2" s="1"/>
  <c r="E81" i="2"/>
  <c r="F81" i="2" s="1"/>
  <c r="H81" i="2" s="1"/>
  <c r="I81" i="2" s="1"/>
  <c r="H80" i="2"/>
  <c r="I80" i="2" s="1"/>
  <c r="F80" i="2"/>
  <c r="E80" i="2"/>
  <c r="E79" i="2"/>
  <c r="F79" i="2" s="1"/>
  <c r="H79" i="2" s="1"/>
  <c r="I79" i="2" s="1"/>
  <c r="E78" i="2"/>
  <c r="F78" i="2" s="1"/>
  <c r="H78" i="2" s="1"/>
  <c r="I78" i="2" s="1"/>
  <c r="J77" i="2"/>
  <c r="E77" i="2"/>
  <c r="F77" i="2" s="1"/>
  <c r="H77" i="2" s="1"/>
  <c r="I77" i="2" s="1"/>
  <c r="F76" i="2"/>
  <c r="H76" i="2" s="1"/>
  <c r="I76" i="2" s="1"/>
  <c r="E76" i="2"/>
  <c r="F75" i="2"/>
  <c r="H75" i="2" s="1"/>
  <c r="I75" i="2" s="1"/>
  <c r="E75" i="2"/>
  <c r="E74" i="2"/>
  <c r="F74" i="2" s="1"/>
  <c r="H74" i="2" s="1"/>
  <c r="I74" i="2" s="1"/>
  <c r="F73" i="2"/>
  <c r="H73" i="2" s="1"/>
  <c r="I73" i="2" s="1"/>
  <c r="E73" i="2"/>
  <c r="F72" i="2"/>
  <c r="H72" i="2" s="1"/>
  <c r="I72" i="2" s="1"/>
  <c r="E72" i="2"/>
  <c r="E71" i="2"/>
  <c r="F71" i="2" s="1"/>
  <c r="H71" i="2" s="1"/>
  <c r="I71" i="2" s="1"/>
  <c r="F70" i="2"/>
  <c r="H70" i="2" s="1"/>
  <c r="I70" i="2" s="1"/>
  <c r="E70" i="2"/>
  <c r="F69" i="2"/>
  <c r="H69" i="2" s="1"/>
  <c r="I69" i="2" s="1"/>
  <c r="E69" i="2"/>
  <c r="E68" i="2"/>
  <c r="F68" i="2" s="1"/>
  <c r="H68" i="2" s="1"/>
  <c r="E65" i="2"/>
  <c r="F65" i="2" s="1"/>
  <c r="H65" i="2" s="1"/>
  <c r="I65" i="2" s="1"/>
  <c r="F64" i="2"/>
  <c r="H64" i="2" s="1"/>
  <c r="I64" i="2" s="1"/>
  <c r="E64" i="2"/>
  <c r="F63" i="2"/>
  <c r="H63" i="2" s="1"/>
  <c r="I63" i="2" s="1"/>
  <c r="E63" i="2"/>
  <c r="E62" i="2"/>
  <c r="F62" i="2" s="1"/>
  <c r="H62" i="2" s="1"/>
  <c r="I62" i="2" s="1"/>
  <c r="F61" i="2"/>
  <c r="H61" i="2" s="1"/>
  <c r="I61" i="2" s="1"/>
  <c r="E61" i="2"/>
  <c r="F60" i="2"/>
  <c r="H60" i="2" s="1"/>
  <c r="I60" i="2" s="1"/>
  <c r="E60" i="2"/>
  <c r="E59" i="2"/>
  <c r="F59" i="2" s="1"/>
  <c r="H59" i="2" s="1"/>
  <c r="I59" i="2" s="1"/>
  <c r="F58" i="2"/>
  <c r="H58" i="2" s="1"/>
  <c r="I58" i="2" s="1"/>
  <c r="E58" i="2"/>
  <c r="F57" i="2"/>
  <c r="H57" i="2" s="1"/>
  <c r="I57" i="2" s="1"/>
  <c r="E57" i="2"/>
  <c r="J56" i="2"/>
  <c r="E56" i="2"/>
  <c r="F56" i="2" s="1"/>
  <c r="H56" i="2" s="1"/>
  <c r="I56" i="2" s="1"/>
  <c r="H55" i="2"/>
  <c r="I55" i="2" s="1"/>
  <c r="F55" i="2"/>
  <c r="E55" i="2"/>
  <c r="E54" i="2"/>
  <c r="F54" i="2" s="1"/>
  <c r="H54" i="2" s="1"/>
  <c r="I54" i="2" s="1"/>
  <c r="E53" i="2"/>
  <c r="F53" i="2" s="1"/>
  <c r="H53" i="2" s="1"/>
  <c r="I53" i="2" s="1"/>
  <c r="H52" i="2"/>
  <c r="I52" i="2" s="1"/>
  <c r="F52" i="2"/>
  <c r="E52" i="2"/>
  <c r="E51" i="2"/>
  <c r="F51" i="2" s="1"/>
  <c r="H51" i="2" s="1"/>
  <c r="I51" i="2" s="1"/>
  <c r="E50" i="2"/>
  <c r="F50" i="2" s="1"/>
  <c r="H50" i="2" s="1"/>
  <c r="I50" i="2" s="1"/>
  <c r="H49" i="2"/>
  <c r="I49" i="2" s="1"/>
  <c r="F49" i="2"/>
  <c r="E49" i="2"/>
  <c r="E48" i="2"/>
  <c r="F48" i="2" s="1"/>
  <c r="H48" i="2" s="1"/>
  <c r="I48" i="2" s="1"/>
  <c r="E47" i="2"/>
  <c r="F47" i="2" s="1"/>
  <c r="H47" i="2" s="1"/>
  <c r="E44" i="2"/>
  <c r="F44" i="2" s="1"/>
  <c r="H44" i="2" s="1"/>
  <c r="I44" i="2" s="1"/>
  <c r="H43" i="2"/>
  <c r="I43" i="2" s="1"/>
  <c r="F43" i="2"/>
  <c r="E43" i="2"/>
  <c r="E42" i="2"/>
  <c r="F42" i="2" s="1"/>
  <c r="H42" i="2" s="1"/>
  <c r="I42" i="2" s="1"/>
  <c r="E41" i="2"/>
  <c r="F41" i="2" s="1"/>
  <c r="H41" i="2" s="1"/>
  <c r="I41" i="2" s="1"/>
  <c r="H40" i="2"/>
  <c r="I40" i="2" s="1"/>
  <c r="F40" i="2"/>
  <c r="E40" i="2"/>
  <c r="E39" i="2"/>
  <c r="F39" i="2" s="1"/>
  <c r="H39" i="2" s="1"/>
  <c r="I39" i="2" s="1"/>
  <c r="J38" i="2"/>
  <c r="F38" i="2"/>
  <c r="H38" i="2" s="1"/>
  <c r="I38" i="2" s="1"/>
  <c r="E38" i="2"/>
  <c r="E37" i="2"/>
  <c r="F37" i="2" s="1"/>
  <c r="H37" i="2" s="1"/>
  <c r="I37" i="2" s="1"/>
  <c r="F36" i="2"/>
  <c r="H36" i="2" s="1"/>
  <c r="I36" i="2" s="1"/>
  <c r="E36" i="2"/>
  <c r="F35" i="2"/>
  <c r="H35" i="2" s="1"/>
  <c r="I35" i="2" s="1"/>
  <c r="E35" i="2"/>
  <c r="E34" i="2"/>
  <c r="F34" i="2" s="1"/>
  <c r="H34" i="2" s="1"/>
  <c r="I34" i="2" s="1"/>
  <c r="F33" i="2"/>
  <c r="H33" i="2" s="1"/>
  <c r="I33" i="2" s="1"/>
  <c r="E33" i="2"/>
  <c r="F32" i="2"/>
  <c r="H32" i="2" s="1"/>
  <c r="I32" i="2" s="1"/>
  <c r="E32" i="2"/>
  <c r="E31" i="2"/>
  <c r="F31" i="2" s="1"/>
  <c r="H31" i="2" s="1"/>
  <c r="I31" i="2" s="1"/>
  <c r="F30" i="2"/>
  <c r="H30" i="2" s="1"/>
  <c r="I30" i="2" s="1"/>
  <c r="E30" i="2"/>
  <c r="F29" i="2"/>
  <c r="H29" i="2" s="1"/>
  <c r="E29" i="2"/>
  <c r="F25" i="2"/>
  <c r="H25" i="2" s="1"/>
  <c r="I25" i="2" s="1"/>
  <c r="E25" i="2"/>
  <c r="E24" i="2"/>
  <c r="F24" i="2" s="1"/>
  <c r="H24" i="2" s="1"/>
  <c r="I24" i="2" s="1"/>
  <c r="F23" i="2"/>
  <c r="H23" i="2" s="1"/>
  <c r="I23" i="2" s="1"/>
  <c r="E23" i="2"/>
  <c r="F22" i="2"/>
  <c r="H22" i="2" s="1"/>
  <c r="I22" i="2" s="1"/>
  <c r="E22" i="2"/>
  <c r="E21" i="2"/>
  <c r="F21" i="2" s="1"/>
  <c r="H21" i="2" s="1"/>
  <c r="I21" i="2" s="1"/>
  <c r="F20" i="2"/>
  <c r="H20" i="2" s="1"/>
  <c r="I20" i="2" s="1"/>
  <c r="E20" i="2"/>
  <c r="J19" i="2"/>
  <c r="E19" i="2"/>
  <c r="F19" i="2" s="1"/>
  <c r="H19" i="2" s="1"/>
  <c r="I19" i="2" s="1"/>
  <c r="E18" i="2"/>
  <c r="F18" i="2" s="1"/>
  <c r="H18" i="2" s="1"/>
  <c r="I18" i="2" s="1"/>
  <c r="E17" i="2"/>
  <c r="F17" i="2" s="1"/>
  <c r="H17" i="2" s="1"/>
  <c r="I17" i="2" s="1"/>
  <c r="E16" i="2"/>
  <c r="F16" i="2" s="1"/>
  <c r="H16" i="2" s="1"/>
  <c r="I16" i="2" s="1"/>
  <c r="E15" i="2"/>
  <c r="F15" i="2" s="1"/>
  <c r="H15" i="2" s="1"/>
  <c r="I15" i="2" s="1"/>
  <c r="E14" i="2"/>
  <c r="F14" i="2" s="1"/>
  <c r="H14" i="2" s="1"/>
  <c r="I14" i="2" s="1"/>
  <c r="E13" i="2"/>
  <c r="F13" i="2" s="1"/>
  <c r="H13" i="2" s="1"/>
  <c r="I13" i="2" s="1"/>
  <c r="E12" i="2"/>
  <c r="F12" i="2" s="1"/>
  <c r="H12" i="2" s="1"/>
  <c r="I12" i="2" s="1"/>
  <c r="E11" i="2"/>
  <c r="F11" i="2" s="1"/>
  <c r="H11" i="2" s="1"/>
  <c r="I11" i="2" s="1"/>
  <c r="E10" i="2"/>
  <c r="F10" i="2" s="1"/>
  <c r="H10" i="2" s="1"/>
  <c r="I10" i="2" s="1"/>
  <c r="E9" i="2"/>
  <c r="F9" i="2" s="1"/>
  <c r="H9" i="2" s="1"/>
  <c r="I9" i="2" s="1"/>
  <c r="E8" i="2"/>
  <c r="F8" i="2" s="1"/>
  <c r="H8" i="2" s="1"/>
  <c r="I8" i="2" s="1"/>
  <c r="E7" i="2"/>
  <c r="F7" i="2" s="1"/>
  <c r="H7" i="2" s="1"/>
  <c r="I7" i="2" s="1"/>
  <c r="E6" i="2"/>
  <c r="F6" i="2" s="1"/>
  <c r="H6" i="2" s="1"/>
  <c r="J26" i="3"/>
  <c r="M26" i="3" s="1"/>
  <c r="M27" i="3" s="1"/>
  <c r="M28" i="3" s="1"/>
  <c r="M29" i="3" s="1"/>
  <c r="M30" i="3" s="1"/>
  <c r="M31" i="3" s="1"/>
  <c r="J20" i="3"/>
  <c r="M20" i="3" s="1"/>
  <c r="M21" i="3" s="1"/>
  <c r="M22" i="3" s="1"/>
  <c r="M23" i="3" s="1"/>
  <c r="M24" i="3" s="1"/>
  <c r="J15" i="3"/>
  <c r="M15" i="3" s="1"/>
  <c r="M16" i="3" s="1"/>
  <c r="M17" i="3" s="1"/>
  <c r="M18" i="3" s="1"/>
  <c r="J11" i="3"/>
  <c r="M11" i="3" s="1"/>
  <c r="M12" i="3" s="1"/>
  <c r="M13" i="3" s="1"/>
  <c r="J8" i="3"/>
  <c r="M8" i="3" s="1"/>
  <c r="M9" i="3" s="1"/>
  <c r="H66" i="2" l="1"/>
  <c r="I47" i="2"/>
  <c r="I66" i="2" s="1"/>
  <c r="H103" i="2"/>
  <c r="I87" i="2"/>
  <c r="I103" i="2" s="1"/>
  <c r="H26" i="2"/>
  <c r="H104" i="2" s="1"/>
  <c r="I6" i="2"/>
  <c r="I26" i="2" s="1"/>
  <c r="I104" i="2" s="1"/>
  <c r="I29" i="2"/>
  <c r="I45" i="2" s="1"/>
  <c r="H45" i="2"/>
  <c r="H85" i="2"/>
  <c r="I68" i="2"/>
  <c r="I85" i="2" s="1"/>
  <c r="M33" i="3"/>
  <c r="M35" i="3" l="1"/>
  <c r="M36" i="3" s="1"/>
</calcChain>
</file>

<file path=xl/comments1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п.п.&gt;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сметного расчета&gt;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СводРасч::&lt;Наименование работ и затрат (глав, объектов)&gt;</t>
        </r>
      </text>
    </comment>
    <comment ref="E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СводРасч::&lt;Строительные работы&gt;
&lt;Формула - Строительные работы&gt;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СводРасч::&lt;Монтажные работы&gt;
&lt;Формула - Монтажные работы&gt;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СводРасч::&lt;Оборудование, мебель, инвентарь&gt;
&lt;Формула - Оборудование&gt;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СводРасч::&lt;Прочее&gt;
&lt;Формула - Прочее&gt;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СводРасч::&lt;Всего&gt;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350 значение&gt;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360 значение&gt;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390 текст&gt;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390 значение&gt;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230 атрибут 950 текст&gt;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Хвост::&lt;подпись 230 атрибут 950 значение&gt;</t>
        </r>
      </text>
    </comment>
  </commentList>
</comments>
</file>

<file path=xl/sharedStrings.xml><?xml version="1.0" encoding="utf-8"?>
<sst xmlns="http://schemas.openxmlformats.org/spreadsheetml/2006/main" count="262" uniqueCount="95">
  <si>
    <t>Результаты расчетов объемов финансовых потребностей,  необходимых для реализации мероприятий по приобретению, установке, замене, допуску в эксплуатацию приборов учета электрической энергии и (или) иного оборудования, а также нематериальных активов, которые необходимы для обеспечения в соответствии с пунктом 5 статьи 37 Федерального закона "Об электроэнергетике" коммерческого учета электрической энергии (мощности), в том числе посредством интеллектуальных систем учета электрической энергии (мощности) (далее - мероприятия по организации коммерческого учета), выполненных в соответствии с нормативами предельного объема финансовых потребностей на реализацию мероприятий по приобретению, установке, замене, допуску в эксплуатацию приборов учета электрической энергии и (или) иного оборудования, а также нематериальных активов, которые необходимы для обеспечения в соответствии с пунктом 5 статьи 37 Федерального закона "Об электроэнергетике" коммерческого учета электрической энергии (мощности), в том числе посредством интеллектуальных систем учета электрической энергии (мощности), утверждаемыми Министерством энергетики Российской Федерации (далее - нормативы предельного объема финансовых потребностей), а также информацию о составе мероприятий по организации коммерческого учета, их стоимостных, технических и количественных показателях, коэффициентах (индексах-дефляторах) и соответствующих им нормативах предельного объема финансовых потребностей на их реализацию, использованных при указанных расчетах;</t>
  </si>
  <si>
    <t>№ пп</t>
  </si>
  <si>
    <t xml:space="preserve">Обоснование </t>
  </si>
  <si>
    <t>Наименование глав, объектов капитального строительства, работ и затрат</t>
  </si>
  <si>
    <t>Сметная стоимость, руб.</t>
  </si>
  <si>
    <t xml:space="preserve">ремонтных
(ремонтно- строительных) </t>
  </si>
  <si>
    <t>Эл.монтажные работы (З/пл с учетом НР и СП)</t>
  </si>
  <si>
    <t>Эксплуатация машин</t>
  </si>
  <si>
    <t xml:space="preserve">Материалы </t>
  </si>
  <si>
    <t xml:space="preserve">Прочее </t>
  </si>
  <si>
    <t>Итого</t>
  </si>
  <si>
    <t>Непредвиденные расходы (3 %)  Приказ от 04.08.2021г №421/пр</t>
  </si>
  <si>
    <t>Зимнее удорожание (2,5%)</t>
  </si>
  <si>
    <t>Всего  затрат</t>
  </si>
  <si>
    <t>Раздел 1: Установка ПУ в 2025году</t>
  </si>
  <si>
    <t>ФСБН-2022 (изм.11)</t>
  </si>
  <si>
    <t>Установка (замена) интеллектуальных ПУ электроэнергии, в связи с истечением сроков межповерочного интервала в 2025 г.</t>
  </si>
  <si>
    <t>Итого с учетом ИПЦ до 2025 г</t>
  </si>
  <si>
    <t>Раздел 2: Установка ПУ в 2026году</t>
  </si>
  <si>
    <t>2</t>
  </si>
  <si>
    <t>Установка (замена) интеллектуальных ПУ электроэнергии, в связи с истечением сроков межповерочного интервала в 2026 г.</t>
  </si>
  <si>
    <t>Итого с учетом ИПЦ до 2026 г</t>
  </si>
  <si>
    <t>Раздел 3: Установка ПУ в 2027году</t>
  </si>
  <si>
    <t>3</t>
  </si>
  <si>
    <t>Установка (замена) интеллектуальных ПУ электроэнергии, в связи с истечением сроков межповерочного интервала в 2027 г.</t>
  </si>
  <si>
    <t>Итого с учетом ИПЦ до 2027 г</t>
  </si>
  <si>
    <t>Раздел 4: Установка ПУ в 2028году</t>
  </si>
  <si>
    <t>4</t>
  </si>
  <si>
    <t>Установка (замена) интеллектуальных ПУ электроэнергии, в связи с истечением сроков межповерочного интервала в 2028 г.</t>
  </si>
  <si>
    <t/>
  </si>
  <si>
    <t>Итого с учетом ИПЦ до 2028 г</t>
  </si>
  <si>
    <t>Раздел 5: Установка ПУ в 2029году</t>
  </si>
  <si>
    <t>Установка (замена) интеллектуальных ПУ электроэнергии, в связи с истечением сроков межповерочного интервала в 2029 г.</t>
  </si>
  <si>
    <t>Итого с учетом ИПЦ до 2029 г</t>
  </si>
  <si>
    <t xml:space="preserve">ИТОГО </t>
  </si>
  <si>
    <t>Налоги и обязательные платежи</t>
  </si>
  <si>
    <t>№ 303-ФЗ от 3.08.2018</t>
  </si>
  <si>
    <t>НДС - 20%</t>
  </si>
  <si>
    <t xml:space="preserve">Итого на 2025 -2029 гг </t>
  </si>
  <si>
    <t xml:space="preserve">Исполнитель: </t>
  </si>
  <si>
    <t>Павлова О.П.</t>
  </si>
  <si>
    <t xml:space="preserve">Руководитель проектной организации </t>
  </si>
  <si>
    <t>Главный инженер проекта</t>
  </si>
  <si>
    <t>Начальник</t>
  </si>
  <si>
    <t>Заказчик</t>
  </si>
  <si>
    <t>№</t>
  </si>
  <si>
    <t xml:space="preserve">Наименование </t>
  </si>
  <si>
    <t>Ед. изм</t>
  </si>
  <si>
    <t>кол-во</t>
  </si>
  <si>
    <t>НМЦК определяемя методом индексации сопоставимых рыночных цен (руб./ед.)</t>
  </si>
  <si>
    <t>Цена за единицу изм. (руб.)</t>
  </si>
  <si>
    <t>Цена  закупки (№ ___ от _______2023 г (без  НДС)</t>
  </si>
  <si>
    <t>Коэфф. дефлятора</t>
  </si>
  <si>
    <t>Итого с учетом индексации без НДС</t>
  </si>
  <si>
    <t>Итого с учетом индексации с НДС</t>
  </si>
  <si>
    <t>2025год</t>
  </si>
  <si>
    <t>Счетчик МИР С-05.10-230-5(80)-GPZ1В-KNQ-E-D с дисплеем потребителя МИР ДП-01.П и кронштейном (сплит)</t>
  </si>
  <si>
    <t>шт</t>
  </si>
  <si>
    <t>Счетчик МИР С-05.10-230-5(80)-GPZ1-KNQ-D</t>
  </si>
  <si>
    <t>Счетчик МИР С-04.10-230-5(100)-GPZ1В-KNQ-E-D с дисплеем потребителя МИР ДП-01.П и кронштейном (сплит)</t>
  </si>
  <si>
    <t xml:space="preserve">Счетчик МИР С-04.10-230-5(100)-G2RPZ1B-KQ-G-D </t>
  </si>
  <si>
    <t>Счетчик МИР С-07.05S-230-5(10)-G-Q-G-D</t>
  </si>
  <si>
    <t>Счетчик МИР С-07.05S-57-5(10)-G-Q-G-D (6кВ)</t>
  </si>
  <si>
    <t>ТРАНСФОРМАТОР ТОКА Т-0,66УЗ 0,4кВ 50/5</t>
  </si>
  <si>
    <t>ТРАНСФОРМАТОР ТОКА Т-0,66УЗ 0,4кВ 75/5</t>
  </si>
  <si>
    <t>ТРАНСФОРМАТОР ТОКА Т-0,66УЗ 0,4кВ 100/5</t>
  </si>
  <si>
    <t>ТРАНСФОРМАТОР ТОКА Т-0,66УЗ 0,4кВ 150/5</t>
  </si>
  <si>
    <t>ТРАНСФОРМАТОР ТОКА Т-0,66УЗ 0,4кВ 200/5</t>
  </si>
  <si>
    <t>ТРАНСФОРМАТОР ТОКА Т-0,66УЗ 0,4кВ 250/5</t>
  </si>
  <si>
    <t>ТРАНСФОРМАТОР ТОКА Т-0,66УЗ 0,4кВ 300/5</t>
  </si>
  <si>
    <t>ТРАНСФОРМАТОР ТОКА Т-0,66УЗ 0,4кВ 400/5</t>
  </si>
  <si>
    <t>ТРАНСФОРМАТОР ТОКА Т-0,66УЗ 0,4кВ 600/5</t>
  </si>
  <si>
    <t>ТРАНСФОРМАТОР ТОКА Т-0,66УЗ 0,4кВ 800/5</t>
  </si>
  <si>
    <t>ТРАНСФОРМАТОР ТОКА Т-0,66УЗ 0,4кВ 1500/5</t>
  </si>
  <si>
    <t>ТРАНСФОРМАТОР ТОКА ТОЛ-10 6-10кВ 100/5</t>
  </si>
  <si>
    <t>ТРАНСФОРМАТОР ТОКА ТОЛ-10 6-10кВ 200/5</t>
  </si>
  <si>
    <t>ТРАНСФОРМАТОР ТОКА ТОЛ-10 6-10кВ 300/5</t>
  </si>
  <si>
    <t>Итого стоимость на 2025г.:</t>
  </si>
  <si>
    <t>2026 год</t>
  </si>
  <si>
    <t>ТРАНСФОРМАТОР ТОКА ТОЛ-10 6-10кВ 150/5</t>
  </si>
  <si>
    <t>Итого стоимость на 2026г.:</t>
  </si>
  <si>
    <t>2027год</t>
  </si>
  <si>
    <t>ТРАНСФОРМАТОР ТОКА Т-0,66УЗ 0,4кВ 30/5</t>
  </si>
  <si>
    <t>ТРАНСФОРМАТОР ТОКА Т-0,66УЗ 0,4кВ 1000/5</t>
  </si>
  <si>
    <t>ТРАНСФОРМАТОР ТОКА ТОЛ-10 6-10кВ 400/5</t>
  </si>
  <si>
    <t>Итого стоимость на 2027г.:</t>
  </si>
  <si>
    <t>2028год</t>
  </si>
  <si>
    <t>ТРАНСФОРМАТОР ТОКА ТОЛ-10 6-10кВ 75/5</t>
  </si>
  <si>
    <t>Итого стоимость на 2028г.:</t>
  </si>
  <si>
    <t>2029год</t>
  </si>
  <si>
    <t>ТРАНСФОРМАТОР ТОКА Т-0,66УЗ 0,4кВ 750/5</t>
  </si>
  <si>
    <t>ТРАНСФОРМАТОР ТОКА ТОЛ-10 6-10кВ 600/5</t>
  </si>
  <si>
    <t>Итого стоимость на 2029г.:</t>
  </si>
  <si>
    <t>В результате проведенного расчета Н(М)ЦК, ЦКЕП контракта составила:</t>
  </si>
  <si>
    <t xml:space="preserve"> _____________________ Куколева И.Л.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</si>
</sst>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center"/>
    </xf>
    <xf numFmtId="0" fontId="6" fillId="0" borderId="0"/>
    <xf numFmtId="0" fontId="3" fillId="0" borderId="0">
      <alignment horizontal="left" vertical="top"/>
    </xf>
  </cellStyleXfs>
  <cellXfs count="79">
    <xf numFmtId="0" fontId="0" fillId="0" borderId="0" xfId="0"/>
    <xf numFmtId="0" fontId="2" fillId="0" borderId="2" xfId="2" applyFont="1" applyBorder="1" applyAlignment="1">
      <alignment horizontal="center"/>
    </xf>
    <xf numFmtId="0" fontId="3" fillId="0" borderId="1" xfId="0" applyFont="1" applyBorder="1"/>
    <xf numFmtId="49" fontId="7" fillId="0" borderId="1" xfId="0" quotePrefix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3" applyFont="1">
      <alignment horizontal="left" vertical="top"/>
    </xf>
    <xf numFmtId="0" fontId="2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right" vertical="top"/>
    </xf>
    <xf numFmtId="0" fontId="4" fillId="0" borderId="0" xfId="0" applyFont="1" applyBorder="1" applyAlignment="1"/>
    <xf numFmtId="0" fontId="2" fillId="0" borderId="0" xfId="3" applyFont="1" applyBorder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4" fontId="13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4" fontId="13" fillId="0" borderId="0" xfId="0" applyNumberFormat="1" applyFont="1"/>
    <xf numFmtId="0" fontId="13" fillId="0" borderId="1" xfId="0" applyFont="1" applyBorder="1"/>
    <xf numFmtId="4" fontId="10" fillId="0" borderId="1" xfId="0" applyNumberFormat="1" applyFont="1" applyBorder="1"/>
    <xf numFmtId="4" fontId="14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/>
    <xf numFmtId="0" fontId="10" fillId="0" borderId="0" xfId="0" applyFont="1" applyBorder="1"/>
    <xf numFmtId="0" fontId="10" fillId="0" borderId="0" xfId="0" applyFont="1" applyBorder="1" applyAlignment="1"/>
    <xf numFmtId="4" fontId="14" fillId="0" borderId="0" xfId="0" applyNumberFormat="1" applyFont="1" applyBorder="1"/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 applyBorder="1"/>
    <xf numFmtId="0" fontId="18" fillId="0" borderId="4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/>
    </xf>
    <xf numFmtId="49" fontId="19" fillId="0" borderId="7" xfId="1" applyNumberFormat="1" applyFont="1" applyBorder="1" applyAlignment="1">
      <alignment horizontal="center"/>
    </xf>
    <xf numFmtId="0" fontId="19" fillId="0" borderId="7" xfId="0" applyFont="1" applyBorder="1" applyAlignment="1"/>
    <xf numFmtId="0" fontId="19" fillId="0" borderId="8" xfId="0" applyFont="1" applyBorder="1" applyAlignment="1"/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СводРасч" xfId="2"/>
    <cellStyle name="Титул" xfId="1"/>
    <cellStyle name="Хвост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workbookViewId="0">
      <selection activeCell="A3" sqref="A3:I4"/>
    </sheetView>
  </sheetViews>
  <sheetFormatPr defaultRowHeight="12.75" outlineLevelRow="1" x14ac:dyDescent="0.2"/>
  <cols>
    <col min="1" max="1" width="5" style="35" customWidth="1"/>
    <col min="2" max="2" width="61.28515625" style="35" customWidth="1"/>
    <col min="3" max="3" width="10" style="35" customWidth="1"/>
    <col min="4" max="4" width="9.85546875" style="35" customWidth="1"/>
    <col min="5" max="5" width="15.5703125" style="35" bestFit="1" customWidth="1"/>
    <col min="6" max="6" width="20.5703125" style="35" customWidth="1"/>
    <col min="7" max="7" width="14.85546875" style="35" customWidth="1"/>
    <col min="8" max="8" width="22.85546875" style="35" customWidth="1"/>
    <col min="9" max="9" width="21.42578125" style="35" bestFit="1" customWidth="1"/>
    <col min="10" max="10" width="14.5703125" style="35" customWidth="1"/>
    <col min="11" max="11" width="9.140625" style="35"/>
    <col min="12" max="12" width="13" style="35" customWidth="1"/>
    <col min="13" max="256" width="9.140625" style="35"/>
    <col min="257" max="257" width="5" style="35" customWidth="1"/>
    <col min="258" max="258" width="61.28515625" style="35" customWidth="1"/>
    <col min="259" max="259" width="10" style="35" customWidth="1"/>
    <col min="260" max="260" width="9.85546875" style="35" customWidth="1"/>
    <col min="261" max="261" width="15.5703125" style="35" bestFit="1" customWidth="1"/>
    <col min="262" max="262" width="20.5703125" style="35" customWidth="1"/>
    <col min="263" max="263" width="14.85546875" style="35" customWidth="1"/>
    <col min="264" max="264" width="22.85546875" style="35" customWidth="1"/>
    <col min="265" max="265" width="21.42578125" style="35" bestFit="1" customWidth="1"/>
    <col min="266" max="266" width="14.5703125" style="35" customWidth="1"/>
    <col min="267" max="267" width="9.140625" style="35"/>
    <col min="268" max="268" width="13" style="35" customWidth="1"/>
    <col min="269" max="512" width="9.140625" style="35"/>
    <col min="513" max="513" width="5" style="35" customWidth="1"/>
    <col min="514" max="514" width="61.28515625" style="35" customWidth="1"/>
    <col min="515" max="515" width="10" style="35" customWidth="1"/>
    <col min="516" max="516" width="9.85546875" style="35" customWidth="1"/>
    <col min="517" max="517" width="15.5703125" style="35" bestFit="1" customWidth="1"/>
    <col min="518" max="518" width="20.5703125" style="35" customWidth="1"/>
    <col min="519" max="519" width="14.85546875" style="35" customWidth="1"/>
    <col min="520" max="520" width="22.85546875" style="35" customWidth="1"/>
    <col min="521" max="521" width="21.42578125" style="35" bestFit="1" customWidth="1"/>
    <col min="522" max="522" width="14.5703125" style="35" customWidth="1"/>
    <col min="523" max="523" width="9.140625" style="35"/>
    <col min="524" max="524" width="13" style="35" customWidth="1"/>
    <col min="525" max="768" width="9.140625" style="35"/>
    <col min="769" max="769" width="5" style="35" customWidth="1"/>
    <col min="770" max="770" width="61.28515625" style="35" customWidth="1"/>
    <col min="771" max="771" width="10" style="35" customWidth="1"/>
    <col min="772" max="772" width="9.85546875" style="35" customWidth="1"/>
    <col min="773" max="773" width="15.5703125" style="35" bestFit="1" customWidth="1"/>
    <col min="774" max="774" width="20.5703125" style="35" customWidth="1"/>
    <col min="775" max="775" width="14.85546875" style="35" customWidth="1"/>
    <col min="776" max="776" width="22.85546875" style="35" customWidth="1"/>
    <col min="777" max="777" width="21.42578125" style="35" bestFit="1" customWidth="1"/>
    <col min="778" max="778" width="14.5703125" style="35" customWidth="1"/>
    <col min="779" max="779" width="9.140625" style="35"/>
    <col min="780" max="780" width="13" style="35" customWidth="1"/>
    <col min="781" max="1024" width="9.140625" style="35"/>
    <col min="1025" max="1025" width="5" style="35" customWidth="1"/>
    <col min="1026" max="1026" width="61.28515625" style="35" customWidth="1"/>
    <col min="1027" max="1027" width="10" style="35" customWidth="1"/>
    <col min="1028" max="1028" width="9.85546875" style="35" customWidth="1"/>
    <col min="1029" max="1029" width="15.5703125" style="35" bestFit="1" customWidth="1"/>
    <col min="1030" max="1030" width="20.5703125" style="35" customWidth="1"/>
    <col min="1031" max="1031" width="14.85546875" style="35" customWidth="1"/>
    <col min="1032" max="1032" width="22.85546875" style="35" customWidth="1"/>
    <col min="1033" max="1033" width="21.42578125" style="35" bestFit="1" customWidth="1"/>
    <col min="1034" max="1034" width="14.5703125" style="35" customWidth="1"/>
    <col min="1035" max="1035" width="9.140625" style="35"/>
    <col min="1036" max="1036" width="13" style="35" customWidth="1"/>
    <col min="1037" max="1280" width="9.140625" style="35"/>
    <col min="1281" max="1281" width="5" style="35" customWidth="1"/>
    <col min="1282" max="1282" width="61.28515625" style="35" customWidth="1"/>
    <col min="1283" max="1283" width="10" style="35" customWidth="1"/>
    <col min="1284" max="1284" width="9.85546875" style="35" customWidth="1"/>
    <col min="1285" max="1285" width="15.5703125" style="35" bestFit="1" customWidth="1"/>
    <col min="1286" max="1286" width="20.5703125" style="35" customWidth="1"/>
    <col min="1287" max="1287" width="14.85546875" style="35" customWidth="1"/>
    <col min="1288" max="1288" width="22.85546875" style="35" customWidth="1"/>
    <col min="1289" max="1289" width="21.42578125" style="35" bestFit="1" customWidth="1"/>
    <col min="1290" max="1290" width="14.5703125" style="35" customWidth="1"/>
    <col min="1291" max="1291" width="9.140625" style="35"/>
    <col min="1292" max="1292" width="13" style="35" customWidth="1"/>
    <col min="1293" max="1536" width="9.140625" style="35"/>
    <col min="1537" max="1537" width="5" style="35" customWidth="1"/>
    <col min="1538" max="1538" width="61.28515625" style="35" customWidth="1"/>
    <col min="1539" max="1539" width="10" style="35" customWidth="1"/>
    <col min="1540" max="1540" width="9.85546875" style="35" customWidth="1"/>
    <col min="1541" max="1541" width="15.5703125" style="35" bestFit="1" customWidth="1"/>
    <col min="1542" max="1542" width="20.5703125" style="35" customWidth="1"/>
    <col min="1543" max="1543" width="14.85546875" style="35" customWidth="1"/>
    <col min="1544" max="1544" width="22.85546875" style="35" customWidth="1"/>
    <col min="1545" max="1545" width="21.42578125" style="35" bestFit="1" customWidth="1"/>
    <col min="1546" max="1546" width="14.5703125" style="35" customWidth="1"/>
    <col min="1547" max="1547" width="9.140625" style="35"/>
    <col min="1548" max="1548" width="13" style="35" customWidth="1"/>
    <col min="1549" max="1792" width="9.140625" style="35"/>
    <col min="1793" max="1793" width="5" style="35" customWidth="1"/>
    <col min="1794" max="1794" width="61.28515625" style="35" customWidth="1"/>
    <col min="1795" max="1795" width="10" style="35" customWidth="1"/>
    <col min="1796" max="1796" width="9.85546875" style="35" customWidth="1"/>
    <col min="1797" max="1797" width="15.5703125" style="35" bestFit="1" customWidth="1"/>
    <col min="1798" max="1798" width="20.5703125" style="35" customWidth="1"/>
    <col min="1799" max="1799" width="14.85546875" style="35" customWidth="1"/>
    <col min="1800" max="1800" width="22.85546875" style="35" customWidth="1"/>
    <col min="1801" max="1801" width="21.42578125" style="35" bestFit="1" customWidth="1"/>
    <col min="1802" max="1802" width="14.5703125" style="35" customWidth="1"/>
    <col min="1803" max="1803" width="9.140625" style="35"/>
    <col min="1804" max="1804" width="13" style="35" customWidth="1"/>
    <col min="1805" max="2048" width="9.140625" style="35"/>
    <col min="2049" max="2049" width="5" style="35" customWidth="1"/>
    <col min="2050" max="2050" width="61.28515625" style="35" customWidth="1"/>
    <col min="2051" max="2051" width="10" style="35" customWidth="1"/>
    <col min="2052" max="2052" width="9.85546875" style="35" customWidth="1"/>
    <col min="2053" max="2053" width="15.5703125" style="35" bestFit="1" customWidth="1"/>
    <col min="2054" max="2054" width="20.5703125" style="35" customWidth="1"/>
    <col min="2055" max="2055" width="14.85546875" style="35" customWidth="1"/>
    <col min="2056" max="2056" width="22.85546875" style="35" customWidth="1"/>
    <col min="2057" max="2057" width="21.42578125" style="35" bestFit="1" customWidth="1"/>
    <col min="2058" max="2058" width="14.5703125" style="35" customWidth="1"/>
    <col min="2059" max="2059" width="9.140625" style="35"/>
    <col min="2060" max="2060" width="13" style="35" customWidth="1"/>
    <col min="2061" max="2304" width="9.140625" style="35"/>
    <col min="2305" max="2305" width="5" style="35" customWidth="1"/>
    <col min="2306" max="2306" width="61.28515625" style="35" customWidth="1"/>
    <col min="2307" max="2307" width="10" style="35" customWidth="1"/>
    <col min="2308" max="2308" width="9.85546875" style="35" customWidth="1"/>
    <col min="2309" max="2309" width="15.5703125" style="35" bestFit="1" customWidth="1"/>
    <col min="2310" max="2310" width="20.5703125" style="35" customWidth="1"/>
    <col min="2311" max="2311" width="14.85546875" style="35" customWidth="1"/>
    <col min="2312" max="2312" width="22.85546875" style="35" customWidth="1"/>
    <col min="2313" max="2313" width="21.42578125" style="35" bestFit="1" customWidth="1"/>
    <col min="2314" max="2314" width="14.5703125" style="35" customWidth="1"/>
    <col min="2315" max="2315" width="9.140625" style="35"/>
    <col min="2316" max="2316" width="13" style="35" customWidth="1"/>
    <col min="2317" max="2560" width="9.140625" style="35"/>
    <col min="2561" max="2561" width="5" style="35" customWidth="1"/>
    <col min="2562" max="2562" width="61.28515625" style="35" customWidth="1"/>
    <col min="2563" max="2563" width="10" style="35" customWidth="1"/>
    <col min="2564" max="2564" width="9.85546875" style="35" customWidth="1"/>
    <col min="2565" max="2565" width="15.5703125" style="35" bestFit="1" customWidth="1"/>
    <col min="2566" max="2566" width="20.5703125" style="35" customWidth="1"/>
    <col min="2567" max="2567" width="14.85546875" style="35" customWidth="1"/>
    <col min="2568" max="2568" width="22.85546875" style="35" customWidth="1"/>
    <col min="2569" max="2569" width="21.42578125" style="35" bestFit="1" customWidth="1"/>
    <col min="2570" max="2570" width="14.5703125" style="35" customWidth="1"/>
    <col min="2571" max="2571" width="9.140625" style="35"/>
    <col min="2572" max="2572" width="13" style="35" customWidth="1"/>
    <col min="2573" max="2816" width="9.140625" style="35"/>
    <col min="2817" max="2817" width="5" style="35" customWidth="1"/>
    <col min="2818" max="2818" width="61.28515625" style="35" customWidth="1"/>
    <col min="2819" max="2819" width="10" style="35" customWidth="1"/>
    <col min="2820" max="2820" width="9.85546875" style="35" customWidth="1"/>
    <col min="2821" max="2821" width="15.5703125" style="35" bestFit="1" customWidth="1"/>
    <col min="2822" max="2822" width="20.5703125" style="35" customWidth="1"/>
    <col min="2823" max="2823" width="14.85546875" style="35" customWidth="1"/>
    <col min="2824" max="2824" width="22.85546875" style="35" customWidth="1"/>
    <col min="2825" max="2825" width="21.42578125" style="35" bestFit="1" customWidth="1"/>
    <col min="2826" max="2826" width="14.5703125" style="35" customWidth="1"/>
    <col min="2827" max="2827" width="9.140625" style="35"/>
    <col min="2828" max="2828" width="13" style="35" customWidth="1"/>
    <col min="2829" max="3072" width="9.140625" style="35"/>
    <col min="3073" max="3073" width="5" style="35" customWidth="1"/>
    <col min="3074" max="3074" width="61.28515625" style="35" customWidth="1"/>
    <col min="3075" max="3075" width="10" style="35" customWidth="1"/>
    <col min="3076" max="3076" width="9.85546875" style="35" customWidth="1"/>
    <col min="3077" max="3077" width="15.5703125" style="35" bestFit="1" customWidth="1"/>
    <col min="3078" max="3078" width="20.5703125" style="35" customWidth="1"/>
    <col min="3079" max="3079" width="14.85546875" style="35" customWidth="1"/>
    <col min="3080" max="3080" width="22.85546875" style="35" customWidth="1"/>
    <col min="3081" max="3081" width="21.42578125" style="35" bestFit="1" customWidth="1"/>
    <col min="3082" max="3082" width="14.5703125" style="35" customWidth="1"/>
    <col min="3083" max="3083" width="9.140625" style="35"/>
    <col min="3084" max="3084" width="13" style="35" customWidth="1"/>
    <col min="3085" max="3328" width="9.140625" style="35"/>
    <col min="3329" max="3329" width="5" style="35" customWidth="1"/>
    <col min="3330" max="3330" width="61.28515625" style="35" customWidth="1"/>
    <col min="3331" max="3331" width="10" style="35" customWidth="1"/>
    <col min="3332" max="3332" width="9.85546875" style="35" customWidth="1"/>
    <col min="3333" max="3333" width="15.5703125" style="35" bestFit="1" customWidth="1"/>
    <col min="3334" max="3334" width="20.5703125" style="35" customWidth="1"/>
    <col min="3335" max="3335" width="14.85546875" style="35" customWidth="1"/>
    <col min="3336" max="3336" width="22.85546875" style="35" customWidth="1"/>
    <col min="3337" max="3337" width="21.42578125" style="35" bestFit="1" customWidth="1"/>
    <col min="3338" max="3338" width="14.5703125" style="35" customWidth="1"/>
    <col min="3339" max="3339" width="9.140625" style="35"/>
    <col min="3340" max="3340" width="13" style="35" customWidth="1"/>
    <col min="3341" max="3584" width="9.140625" style="35"/>
    <col min="3585" max="3585" width="5" style="35" customWidth="1"/>
    <col min="3586" max="3586" width="61.28515625" style="35" customWidth="1"/>
    <col min="3587" max="3587" width="10" style="35" customWidth="1"/>
    <col min="3588" max="3588" width="9.85546875" style="35" customWidth="1"/>
    <col min="3589" max="3589" width="15.5703125" style="35" bestFit="1" customWidth="1"/>
    <col min="3590" max="3590" width="20.5703125" style="35" customWidth="1"/>
    <col min="3591" max="3591" width="14.85546875" style="35" customWidth="1"/>
    <col min="3592" max="3592" width="22.85546875" style="35" customWidth="1"/>
    <col min="3593" max="3593" width="21.42578125" style="35" bestFit="1" customWidth="1"/>
    <col min="3594" max="3594" width="14.5703125" style="35" customWidth="1"/>
    <col min="3595" max="3595" width="9.140625" style="35"/>
    <col min="3596" max="3596" width="13" style="35" customWidth="1"/>
    <col min="3597" max="3840" width="9.140625" style="35"/>
    <col min="3841" max="3841" width="5" style="35" customWidth="1"/>
    <col min="3842" max="3842" width="61.28515625" style="35" customWidth="1"/>
    <col min="3843" max="3843" width="10" style="35" customWidth="1"/>
    <col min="3844" max="3844" width="9.85546875" style="35" customWidth="1"/>
    <col min="3845" max="3845" width="15.5703125" style="35" bestFit="1" customWidth="1"/>
    <col min="3846" max="3846" width="20.5703125" style="35" customWidth="1"/>
    <col min="3847" max="3847" width="14.85546875" style="35" customWidth="1"/>
    <col min="3848" max="3848" width="22.85546875" style="35" customWidth="1"/>
    <col min="3849" max="3849" width="21.42578125" style="35" bestFit="1" customWidth="1"/>
    <col min="3850" max="3850" width="14.5703125" style="35" customWidth="1"/>
    <col min="3851" max="3851" width="9.140625" style="35"/>
    <col min="3852" max="3852" width="13" style="35" customWidth="1"/>
    <col min="3853" max="4096" width="9.140625" style="35"/>
    <col min="4097" max="4097" width="5" style="35" customWidth="1"/>
    <col min="4098" max="4098" width="61.28515625" style="35" customWidth="1"/>
    <col min="4099" max="4099" width="10" style="35" customWidth="1"/>
    <col min="4100" max="4100" width="9.85546875" style="35" customWidth="1"/>
    <col min="4101" max="4101" width="15.5703125" style="35" bestFit="1" customWidth="1"/>
    <col min="4102" max="4102" width="20.5703125" style="35" customWidth="1"/>
    <col min="4103" max="4103" width="14.85546875" style="35" customWidth="1"/>
    <col min="4104" max="4104" width="22.85546875" style="35" customWidth="1"/>
    <col min="4105" max="4105" width="21.42578125" style="35" bestFit="1" customWidth="1"/>
    <col min="4106" max="4106" width="14.5703125" style="35" customWidth="1"/>
    <col min="4107" max="4107" width="9.140625" style="35"/>
    <col min="4108" max="4108" width="13" style="35" customWidth="1"/>
    <col min="4109" max="4352" width="9.140625" style="35"/>
    <col min="4353" max="4353" width="5" style="35" customWidth="1"/>
    <col min="4354" max="4354" width="61.28515625" style="35" customWidth="1"/>
    <col min="4355" max="4355" width="10" style="35" customWidth="1"/>
    <col min="4356" max="4356" width="9.85546875" style="35" customWidth="1"/>
    <col min="4357" max="4357" width="15.5703125" style="35" bestFit="1" customWidth="1"/>
    <col min="4358" max="4358" width="20.5703125" style="35" customWidth="1"/>
    <col min="4359" max="4359" width="14.85546875" style="35" customWidth="1"/>
    <col min="4360" max="4360" width="22.85546875" style="35" customWidth="1"/>
    <col min="4361" max="4361" width="21.42578125" style="35" bestFit="1" customWidth="1"/>
    <col min="4362" max="4362" width="14.5703125" style="35" customWidth="1"/>
    <col min="4363" max="4363" width="9.140625" style="35"/>
    <col min="4364" max="4364" width="13" style="35" customWidth="1"/>
    <col min="4365" max="4608" width="9.140625" style="35"/>
    <col min="4609" max="4609" width="5" style="35" customWidth="1"/>
    <col min="4610" max="4610" width="61.28515625" style="35" customWidth="1"/>
    <col min="4611" max="4611" width="10" style="35" customWidth="1"/>
    <col min="4612" max="4612" width="9.85546875" style="35" customWidth="1"/>
    <col min="4613" max="4613" width="15.5703125" style="35" bestFit="1" customWidth="1"/>
    <col min="4614" max="4614" width="20.5703125" style="35" customWidth="1"/>
    <col min="4615" max="4615" width="14.85546875" style="35" customWidth="1"/>
    <col min="4616" max="4616" width="22.85546875" style="35" customWidth="1"/>
    <col min="4617" max="4617" width="21.42578125" style="35" bestFit="1" customWidth="1"/>
    <col min="4618" max="4618" width="14.5703125" style="35" customWidth="1"/>
    <col min="4619" max="4619" width="9.140625" style="35"/>
    <col min="4620" max="4620" width="13" style="35" customWidth="1"/>
    <col min="4621" max="4864" width="9.140625" style="35"/>
    <col min="4865" max="4865" width="5" style="35" customWidth="1"/>
    <col min="4866" max="4866" width="61.28515625" style="35" customWidth="1"/>
    <col min="4867" max="4867" width="10" style="35" customWidth="1"/>
    <col min="4868" max="4868" width="9.85546875" style="35" customWidth="1"/>
    <col min="4869" max="4869" width="15.5703125" style="35" bestFit="1" customWidth="1"/>
    <col min="4870" max="4870" width="20.5703125" style="35" customWidth="1"/>
    <col min="4871" max="4871" width="14.85546875" style="35" customWidth="1"/>
    <col min="4872" max="4872" width="22.85546875" style="35" customWidth="1"/>
    <col min="4873" max="4873" width="21.42578125" style="35" bestFit="1" customWidth="1"/>
    <col min="4874" max="4874" width="14.5703125" style="35" customWidth="1"/>
    <col min="4875" max="4875" width="9.140625" style="35"/>
    <col min="4876" max="4876" width="13" style="35" customWidth="1"/>
    <col min="4877" max="5120" width="9.140625" style="35"/>
    <col min="5121" max="5121" width="5" style="35" customWidth="1"/>
    <col min="5122" max="5122" width="61.28515625" style="35" customWidth="1"/>
    <col min="5123" max="5123" width="10" style="35" customWidth="1"/>
    <col min="5124" max="5124" width="9.85546875" style="35" customWidth="1"/>
    <col min="5125" max="5125" width="15.5703125" style="35" bestFit="1" customWidth="1"/>
    <col min="5126" max="5126" width="20.5703125" style="35" customWidth="1"/>
    <col min="5127" max="5127" width="14.85546875" style="35" customWidth="1"/>
    <col min="5128" max="5128" width="22.85546875" style="35" customWidth="1"/>
    <col min="5129" max="5129" width="21.42578125" style="35" bestFit="1" customWidth="1"/>
    <col min="5130" max="5130" width="14.5703125" style="35" customWidth="1"/>
    <col min="5131" max="5131" width="9.140625" style="35"/>
    <col min="5132" max="5132" width="13" style="35" customWidth="1"/>
    <col min="5133" max="5376" width="9.140625" style="35"/>
    <col min="5377" max="5377" width="5" style="35" customWidth="1"/>
    <col min="5378" max="5378" width="61.28515625" style="35" customWidth="1"/>
    <col min="5379" max="5379" width="10" style="35" customWidth="1"/>
    <col min="5380" max="5380" width="9.85546875" style="35" customWidth="1"/>
    <col min="5381" max="5381" width="15.5703125" style="35" bestFit="1" customWidth="1"/>
    <col min="5382" max="5382" width="20.5703125" style="35" customWidth="1"/>
    <col min="5383" max="5383" width="14.85546875" style="35" customWidth="1"/>
    <col min="5384" max="5384" width="22.85546875" style="35" customWidth="1"/>
    <col min="5385" max="5385" width="21.42578125" style="35" bestFit="1" customWidth="1"/>
    <col min="5386" max="5386" width="14.5703125" style="35" customWidth="1"/>
    <col min="5387" max="5387" width="9.140625" style="35"/>
    <col min="5388" max="5388" width="13" style="35" customWidth="1"/>
    <col min="5389" max="5632" width="9.140625" style="35"/>
    <col min="5633" max="5633" width="5" style="35" customWidth="1"/>
    <col min="5634" max="5634" width="61.28515625" style="35" customWidth="1"/>
    <col min="5635" max="5635" width="10" style="35" customWidth="1"/>
    <col min="5636" max="5636" width="9.85546875" style="35" customWidth="1"/>
    <col min="5637" max="5637" width="15.5703125" style="35" bestFit="1" customWidth="1"/>
    <col min="5638" max="5638" width="20.5703125" style="35" customWidth="1"/>
    <col min="5639" max="5639" width="14.85546875" style="35" customWidth="1"/>
    <col min="5640" max="5640" width="22.85546875" style="35" customWidth="1"/>
    <col min="5641" max="5641" width="21.42578125" style="35" bestFit="1" customWidth="1"/>
    <col min="5642" max="5642" width="14.5703125" style="35" customWidth="1"/>
    <col min="5643" max="5643" width="9.140625" style="35"/>
    <col min="5644" max="5644" width="13" style="35" customWidth="1"/>
    <col min="5645" max="5888" width="9.140625" style="35"/>
    <col min="5889" max="5889" width="5" style="35" customWidth="1"/>
    <col min="5890" max="5890" width="61.28515625" style="35" customWidth="1"/>
    <col min="5891" max="5891" width="10" style="35" customWidth="1"/>
    <col min="5892" max="5892" width="9.85546875" style="35" customWidth="1"/>
    <col min="5893" max="5893" width="15.5703125" style="35" bestFit="1" customWidth="1"/>
    <col min="5894" max="5894" width="20.5703125" style="35" customWidth="1"/>
    <col min="5895" max="5895" width="14.85546875" style="35" customWidth="1"/>
    <col min="5896" max="5896" width="22.85546875" style="35" customWidth="1"/>
    <col min="5897" max="5897" width="21.42578125" style="35" bestFit="1" customWidth="1"/>
    <col min="5898" max="5898" width="14.5703125" style="35" customWidth="1"/>
    <col min="5899" max="5899" width="9.140625" style="35"/>
    <col min="5900" max="5900" width="13" style="35" customWidth="1"/>
    <col min="5901" max="6144" width="9.140625" style="35"/>
    <col min="6145" max="6145" width="5" style="35" customWidth="1"/>
    <col min="6146" max="6146" width="61.28515625" style="35" customWidth="1"/>
    <col min="6147" max="6147" width="10" style="35" customWidth="1"/>
    <col min="6148" max="6148" width="9.85546875" style="35" customWidth="1"/>
    <col min="6149" max="6149" width="15.5703125" style="35" bestFit="1" customWidth="1"/>
    <col min="6150" max="6150" width="20.5703125" style="35" customWidth="1"/>
    <col min="6151" max="6151" width="14.85546875" style="35" customWidth="1"/>
    <col min="6152" max="6152" width="22.85546875" style="35" customWidth="1"/>
    <col min="6153" max="6153" width="21.42578125" style="35" bestFit="1" customWidth="1"/>
    <col min="6154" max="6154" width="14.5703125" style="35" customWidth="1"/>
    <col min="6155" max="6155" width="9.140625" style="35"/>
    <col min="6156" max="6156" width="13" style="35" customWidth="1"/>
    <col min="6157" max="6400" width="9.140625" style="35"/>
    <col min="6401" max="6401" width="5" style="35" customWidth="1"/>
    <col min="6402" max="6402" width="61.28515625" style="35" customWidth="1"/>
    <col min="6403" max="6403" width="10" style="35" customWidth="1"/>
    <col min="6404" max="6404" width="9.85546875" style="35" customWidth="1"/>
    <col min="6405" max="6405" width="15.5703125" style="35" bestFit="1" customWidth="1"/>
    <col min="6406" max="6406" width="20.5703125" style="35" customWidth="1"/>
    <col min="6407" max="6407" width="14.85546875" style="35" customWidth="1"/>
    <col min="6408" max="6408" width="22.85546875" style="35" customWidth="1"/>
    <col min="6409" max="6409" width="21.42578125" style="35" bestFit="1" customWidth="1"/>
    <col min="6410" max="6410" width="14.5703125" style="35" customWidth="1"/>
    <col min="6411" max="6411" width="9.140625" style="35"/>
    <col min="6412" max="6412" width="13" style="35" customWidth="1"/>
    <col min="6413" max="6656" width="9.140625" style="35"/>
    <col min="6657" max="6657" width="5" style="35" customWidth="1"/>
    <col min="6658" max="6658" width="61.28515625" style="35" customWidth="1"/>
    <col min="6659" max="6659" width="10" style="35" customWidth="1"/>
    <col min="6660" max="6660" width="9.85546875" style="35" customWidth="1"/>
    <col min="6661" max="6661" width="15.5703125" style="35" bestFit="1" customWidth="1"/>
    <col min="6662" max="6662" width="20.5703125" style="35" customWidth="1"/>
    <col min="6663" max="6663" width="14.85546875" style="35" customWidth="1"/>
    <col min="6664" max="6664" width="22.85546875" style="35" customWidth="1"/>
    <col min="6665" max="6665" width="21.42578125" style="35" bestFit="1" customWidth="1"/>
    <col min="6666" max="6666" width="14.5703125" style="35" customWidth="1"/>
    <col min="6667" max="6667" width="9.140625" style="35"/>
    <col min="6668" max="6668" width="13" style="35" customWidth="1"/>
    <col min="6669" max="6912" width="9.140625" style="35"/>
    <col min="6913" max="6913" width="5" style="35" customWidth="1"/>
    <col min="6914" max="6914" width="61.28515625" style="35" customWidth="1"/>
    <col min="6915" max="6915" width="10" style="35" customWidth="1"/>
    <col min="6916" max="6916" width="9.85546875" style="35" customWidth="1"/>
    <col min="6917" max="6917" width="15.5703125" style="35" bestFit="1" customWidth="1"/>
    <col min="6918" max="6918" width="20.5703125" style="35" customWidth="1"/>
    <col min="6919" max="6919" width="14.85546875" style="35" customWidth="1"/>
    <col min="6920" max="6920" width="22.85546875" style="35" customWidth="1"/>
    <col min="6921" max="6921" width="21.42578125" style="35" bestFit="1" customWidth="1"/>
    <col min="6922" max="6922" width="14.5703125" style="35" customWidth="1"/>
    <col min="6923" max="6923" width="9.140625" style="35"/>
    <col min="6924" max="6924" width="13" style="35" customWidth="1"/>
    <col min="6925" max="7168" width="9.140625" style="35"/>
    <col min="7169" max="7169" width="5" style="35" customWidth="1"/>
    <col min="7170" max="7170" width="61.28515625" style="35" customWidth="1"/>
    <col min="7171" max="7171" width="10" style="35" customWidth="1"/>
    <col min="7172" max="7172" width="9.85546875" style="35" customWidth="1"/>
    <col min="7173" max="7173" width="15.5703125" style="35" bestFit="1" customWidth="1"/>
    <col min="7174" max="7174" width="20.5703125" style="35" customWidth="1"/>
    <col min="7175" max="7175" width="14.85546875" style="35" customWidth="1"/>
    <col min="7176" max="7176" width="22.85546875" style="35" customWidth="1"/>
    <col min="7177" max="7177" width="21.42578125" style="35" bestFit="1" customWidth="1"/>
    <col min="7178" max="7178" width="14.5703125" style="35" customWidth="1"/>
    <col min="7179" max="7179" width="9.140625" style="35"/>
    <col min="7180" max="7180" width="13" style="35" customWidth="1"/>
    <col min="7181" max="7424" width="9.140625" style="35"/>
    <col min="7425" max="7425" width="5" style="35" customWidth="1"/>
    <col min="7426" max="7426" width="61.28515625" style="35" customWidth="1"/>
    <col min="7427" max="7427" width="10" style="35" customWidth="1"/>
    <col min="7428" max="7428" width="9.85546875" style="35" customWidth="1"/>
    <col min="7429" max="7429" width="15.5703125" style="35" bestFit="1" customWidth="1"/>
    <col min="7430" max="7430" width="20.5703125" style="35" customWidth="1"/>
    <col min="7431" max="7431" width="14.85546875" style="35" customWidth="1"/>
    <col min="7432" max="7432" width="22.85546875" style="35" customWidth="1"/>
    <col min="7433" max="7433" width="21.42578125" style="35" bestFit="1" customWidth="1"/>
    <col min="7434" max="7434" width="14.5703125" style="35" customWidth="1"/>
    <col min="7435" max="7435" width="9.140625" style="35"/>
    <col min="7436" max="7436" width="13" style="35" customWidth="1"/>
    <col min="7437" max="7680" width="9.140625" style="35"/>
    <col min="7681" max="7681" width="5" style="35" customWidth="1"/>
    <col min="7682" max="7682" width="61.28515625" style="35" customWidth="1"/>
    <col min="7683" max="7683" width="10" style="35" customWidth="1"/>
    <col min="7684" max="7684" width="9.85546875" style="35" customWidth="1"/>
    <col min="7685" max="7685" width="15.5703125" style="35" bestFit="1" customWidth="1"/>
    <col min="7686" max="7686" width="20.5703125" style="35" customWidth="1"/>
    <col min="7687" max="7687" width="14.85546875" style="35" customWidth="1"/>
    <col min="7688" max="7688" width="22.85546875" style="35" customWidth="1"/>
    <col min="7689" max="7689" width="21.42578125" style="35" bestFit="1" customWidth="1"/>
    <col min="7690" max="7690" width="14.5703125" style="35" customWidth="1"/>
    <col min="7691" max="7691" width="9.140625" style="35"/>
    <col min="7692" max="7692" width="13" style="35" customWidth="1"/>
    <col min="7693" max="7936" width="9.140625" style="35"/>
    <col min="7937" max="7937" width="5" style="35" customWidth="1"/>
    <col min="7938" max="7938" width="61.28515625" style="35" customWidth="1"/>
    <col min="7939" max="7939" width="10" style="35" customWidth="1"/>
    <col min="7940" max="7940" width="9.85546875" style="35" customWidth="1"/>
    <col min="7941" max="7941" width="15.5703125" style="35" bestFit="1" customWidth="1"/>
    <col min="7942" max="7942" width="20.5703125" style="35" customWidth="1"/>
    <col min="7943" max="7943" width="14.85546875" style="35" customWidth="1"/>
    <col min="7944" max="7944" width="22.85546875" style="35" customWidth="1"/>
    <col min="7945" max="7945" width="21.42578125" style="35" bestFit="1" customWidth="1"/>
    <col min="7946" max="7946" width="14.5703125" style="35" customWidth="1"/>
    <col min="7947" max="7947" width="9.140625" style="35"/>
    <col min="7948" max="7948" width="13" style="35" customWidth="1"/>
    <col min="7949" max="8192" width="9.140625" style="35"/>
    <col min="8193" max="8193" width="5" style="35" customWidth="1"/>
    <col min="8194" max="8194" width="61.28515625" style="35" customWidth="1"/>
    <col min="8195" max="8195" width="10" style="35" customWidth="1"/>
    <col min="8196" max="8196" width="9.85546875" style="35" customWidth="1"/>
    <col min="8197" max="8197" width="15.5703125" style="35" bestFit="1" customWidth="1"/>
    <col min="8198" max="8198" width="20.5703125" style="35" customWidth="1"/>
    <col min="8199" max="8199" width="14.85546875" style="35" customWidth="1"/>
    <col min="8200" max="8200" width="22.85546875" style="35" customWidth="1"/>
    <col min="8201" max="8201" width="21.42578125" style="35" bestFit="1" customWidth="1"/>
    <col min="8202" max="8202" width="14.5703125" style="35" customWidth="1"/>
    <col min="8203" max="8203" width="9.140625" style="35"/>
    <col min="8204" max="8204" width="13" style="35" customWidth="1"/>
    <col min="8205" max="8448" width="9.140625" style="35"/>
    <col min="8449" max="8449" width="5" style="35" customWidth="1"/>
    <col min="8450" max="8450" width="61.28515625" style="35" customWidth="1"/>
    <col min="8451" max="8451" width="10" style="35" customWidth="1"/>
    <col min="8452" max="8452" width="9.85546875" style="35" customWidth="1"/>
    <col min="8453" max="8453" width="15.5703125" style="35" bestFit="1" customWidth="1"/>
    <col min="8454" max="8454" width="20.5703125" style="35" customWidth="1"/>
    <col min="8455" max="8455" width="14.85546875" style="35" customWidth="1"/>
    <col min="8456" max="8456" width="22.85546875" style="35" customWidth="1"/>
    <col min="8457" max="8457" width="21.42578125" style="35" bestFit="1" customWidth="1"/>
    <col min="8458" max="8458" width="14.5703125" style="35" customWidth="1"/>
    <col min="8459" max="8459" width="9.140625" style="35"/>
    <col min="8460" max="8460" width="13" style="35" customWidth="1"/>
    <col min="8461" max="8704" width="9.140625" style="35"/>
    <col min="8705" max="8705" width="5" style="35" customWidth="1"/>
    <col min="8706" max="8706" width="61.28515625" style="35" customWidth="1"/>
    <col min="8707" max="8707" width="10" style="35" customWidth="1"/>
    <col min="8708" max="8708" width="9.85546875" style="35" customWidth="1"/>
    <col min="8709" max="8709" width="15.5703125" style="35" bestFit="1" customWidth="1"/>
    <col min="8710" max="8710" width="20.5703125" style="35" customWidth="1"/>
    <col min="8711" max="8711" width="14.85546875" style="35" customWidth="1"/>
    <col min="8712" max="8712" width="22.85546875" style="35" customWidth="1"/>
    <col min="8713" max="8713" width="21.42578125" style="35" bestFit="1" customWidth="1"/>
    <col min="8714" max="8714" width="14.5703125" style="35" customWidth="1"/>
    <col min="8715" max="8715" width="9.140625" style="35"/>
    <col min="8716" max="8716" width="13" style="35" customWidth="1"/>
    <col min="8717" max="8960" width="9.140625" style="35"/>
    <col min="8961" max="8961" width="5" style="35" customWidth="1"/>
    <col min="8962" max="8962" width="61.28515625" style="35" customWidth="1"/>
    <col min="8963" max="8963" width="10" style="35" customWidth="1"/>
    <col min="8964" max="8964" width="9.85546875" style="35" customWidth="1"/>
    <col min="8965" max="8965" width="15.5703125" style="35" bestFit="1" customWidth="1"/>
    <col min="8966" max="8966" width="20.5703125" style="35" customWidth="1"/>
    <col min="8967" max="8967" width="14.85546875" style="35" customWidth="1"/>
    <col min="8968" max="8968" width="22.85546875" style="35" customWidth="1"/>
    <col min="8969" max="8969" width="21.42578125" style="35" bestFit="1" customWidth="1"/>
    <col min="8970" max="8970" width="14.5703125" style="35" customWidth="1"/>
    <col min="8971" max="8971" width="9.140625" style="35"/>
    <col min="8972" max="8972" width="13" style="35" customWidth="1"/>
    <col min="8973" max="9216" width="9.140625" style="35"/>
    <col min="9217" max="9217" width="5" style="35" customWidth="1"/>
    <col min="9218" max="9218" width="61.28515625" style="35" customWidth="1"/>
    <col min="9219" max="9219" width="10" style="35" customWidth="1"/>
    <col min="9220" max="9220" width="9.85546875" style="35" customWidth="1"/>
    <col min="9221" max="9221" width="15.5703125" style="35" bestFit="1" customWidth="1"/>
    <col min="9222" max="9222" width="20.5703125" style="35" customWidth="1"/>
    <col min="9223" max="9223" width="14.85546875" style="35" customWidth="1"/>
    <col min="9224" max="9224" width="22.85546875" style="35" customWidth="1"/>
    <col min="9225" max="9225" width="21.42578125" style="35" bestFit="1" customWidth="1"/>
    <col min="9226" max="9226" width="14.5703125" style="35" customWidth="1"/>
    <col min="9227" max="9227" width="9.140625" style="35"/>
    <col min="9228" max="9228" width="13" style="35" customWidth="1"/>
    <col min="9229" max="9472" width="9.140625" style="35"/>
    <col min="9473" max="9473" width="5" style="35" customWidth="1"/>
    <col min="9474" max="9474" width="61.28515625" style="35" customWidth="1"/>
    <col min="9475" max="9475" width="10" style="35" customWidth="1"/>
    <col min="9476" max="9476" width="9.85546875" style="35" customWidth="1"/>
    <col min="9477" max="9477" width="15.5703125" style="35" bestFit="1" customWidth="1"/>
    <col min="9478" max="9478" width="20.5703125" style="35" customWidth="1"/>
    <col min="9479" max="9479" width="14.85546875" style="35" customWidth="1"/>
    <col min="9480" max="9480" width="22.85546875" style="35" customWidth="1"/>
    <col min="9481" max="9481" width="21.42578125" style="35" bestFit="1" customWidth="1"/>
    <col min="9482" max="9482" width="14.5703125" style="35" customWidth="1"/>
    <col min="9483" max="9483" width="9.140625" style="35"/>
    <col min="9484" max="9484" width="13" style="35" customWidth="1"/>
    <col min="9485" max="9728" width="9.140625" style="35"/>
    <col min="9729" max="9729" width="5" style="35" customWidth="1"/>
    <col min="9730" max="9730" width="61.28515625" style="35" customWidth="1"/>
    <col min="9731" max="9731" width="10" style="35" customWidth="1"/>
    <col min="9732" max="9732" width="9.85546875" style="35" customWidth="1"/>
    <col min="9733" max="9733" width="15.5703125" style="35" bestFit="1" customWidth="1"/>
    <col min="9734" max="9734" width="20.5703125" style="35" customWidth="1"/>
    <col min="9735" max="9735" width="14.85546875" style="35" customWidth="1"/>
    <col min="9736" max="9736" width="22.85546875" style="35" customWidth="1"/>
    <col min="9737" max="9737" width="21.42578125" style="35" bestFit="1" customWidth="1"/>
    <col min="9738" max="9738" width="14.5703125" style="35" customWidth="1"/>
    <col min="9739" max="9739" width="9.140625" style="35"/>
    <col min="9740" max="9740" width="13" style="35" customWidth="1"/>
    <col min="9741" max="9984" width="9.140625" style="35"/>
    <col min="9985" max="9985" width="5" style="35" customWidth="1"/>
    <col min="9986" max="9986" width="61.28515625" style="35" customWidth="1"/>
    <col min="9987" max="9987" width="10" style="35" customWidth="1"/>
    <col min="9988" max="9988" width="9.85546875" style="35" customWidth="1"/>
    <col min="9989" max="9989" width="15.5703125" style="35" bestFit="1" customWidth="1"/>
    <col min="9990" max="9990" width="20.5703125" style="35" customWidth="1"/>
    <col min="9991" max="9991" width="14.85546875" style="35" customWidth="1"/>
    <col min="9992" max="9992" width="22.85546875" style="35" customWidth="1"/>
    <col min="9993" max="9993" width="21.42578125" style="35" bestFit="1" customWidth="1"/>
    <col min="9994" max="9994" width="14.5703125" style="35" customWidth="1"/>
    <col min="9995" max="9995" width="9.140625" style="35"/>
    <col min="9996" max="9996" width="13" style="35" customWidth="1"/>
    <col min="9997" max="10240" width="9.140625" style="35"/>
    <col min="10241" max="10241" width="5" style="35" customWidth="1"/>
    <col min="10242" max="10242" width="61.28515625" style="35" customWidth="1"/>
    <col min="10243" max="10243" width="10" style="35" customWidth="1"/>
    <col min="10244" max="10244" width="9.85546875" style="35" customWidth="1"/>
    <col min="10245" max="10245" width="15.5703125" style="35" bestFit="1" customWidth="1"/>
    <col min="10246" max="10246" width="20.5703125" style="35" customWidth="1"/>
    <col min="10247" max="10247" width="14.85546875" style="35" customWidth="1"/>
    <col min="10248" max="10248" width="22.85546875" style="35" customWidth="1"/>
    <col min="10249" max="10249" width="21.42578125" style="35" bestFit="1" customWidth="1"/>
    <col min="10250" max="10250" width="14.5703125" style="35" customWidth="1"/>
    <col min="10251" max="10251" width="9.140625" style="35"/>
    <col min="10252" max="10252" width="13" style="35" customWidth="1"/>
    <col min="10253" max="10496" width="9.140625" style="35"/>
    <col min="10497" max="10497" width="5" style="35" customWidth="1"/>
    <col min="10498" max="10498" width="61.28515625" style="35" customWidth="1"/>
    <col min="10499" max="10499" width="10" style="35" customWidth="1"/>
    <col min="10500" max="10500" width="9.85546875" style="35" customWidth="1"/>
    <col min="10501" max="10501" width="15.5703125" style="35" bestFit="1" customWidth="1"/>
    <col min="10502" max="10502" width="20.5703125" style="35" customWidth="1"/>
    <col min="10503" max="10503" width="14.85546875" style="35" customWidth="1"/>
    <col min="10504" max="10504" width="22.85546875" style="35" customWidth="1"/>
    <col min="10505" max="10505" width="21.42578125" style="35" bestFit="1" customWidth="1"/>
    <col min="10506" max="10506" width="14.5703125" style="35" customWidth="1"/>
    <col min="10507" max="10507" width="9.140625" style="35"/>
    <col min="10508" max="10508" width="13" style="35" customWidth="1"/>
    <col min="10509" max="10752" width="9.140625" style="35"/>
    <col min="10753" max="10753" width="5" style="35" customWidth="1"/>
    <col min="10754" max="10754" width="61.28515625" style="35" customWidth="1"/>
    <col min="10755" max="10755" width="10" style="35" customWidth="1"/>
    <col min="10756" max="10756" width="9.85546875" style="35" customWidth="1"/>
    <col min="10757" max="10757" width="15.5703125" style="35" bestFit="1" customWidth="1"/>
    <col min="10758" max="10758" width="20.5703125" style="35" customWidth="1"/>
    <col min="10759" max="10759" width="14.85546875" style="35" customWidth="1"/>
    <col min="10760" max="10760" width="22.85546875" style="35" customWidth="1"/>
    <col min="10761" max="10761" width="21.42578125" style="35" bestFit="1" customWidth="1"/>
    <col min="10762" max="10762" width="14.5703125" style="35" customWidth="1"/>
    <col min="10763" max="10763" width="9.140625" style="35"/>
    <col min="10764" max="10764" width="13" style="35" customWidth="1"/>
    <col min="10765" max="11008" width="9.140625" style="35"/>
    <col min="11009" max="11009" width="5" style="35" customWidth="1"/>
    <col min="11010" max="11010" width="61.28515625" style="35" customWidth="1"/>
    <col min="11011" max="11011" width="10" style="35" customWidth="1"/>
    <col min="11012" max="11012" width="9.85546875" style="35" customWidth="1"/>
    <col min="11013" max="11013" width="15.5703125" style="35" bestFit="1" customWidth="1"/>
    <col min="11014" max="11014" width="20.5703125" style="35" customWidth="1"/>
    <col min="11015" max="11015" width="14.85546875" style="35" customWidth="1"/>
    <col min="11016" max="11016" width="22.85546875" style="35" customWidth="1"/>
    <col min="11017" max="11017" width="21.42578125" style="35" bestFit="1" customWidth="1"/>
    <col min="11018" max="11018" width="14.5703125" style="35" customWidth="1"/>
    <col min="11019" max="11019" width="9.140625" style="35"/>
    <col min="11020" max="11020" width="13" style="35" customWidth="1"/>
    <col min="11021" max="11264" width="9.140625" style="35"/>
    <col min="11265" max="11265" width="5" style="35" customWidth="1"/>
    <col min="11266" max="11266" width="61.28515625" style="35" customWidth="1"/>
    <col min="11267" max="11267" width="10" style="35" customWidth="1"/>
    <col min="11268" max="11268" width="9.85546875" style="35" customWidth="1"/>
    <col min="11269" max="11269" width="15.5703125" style="35" bestFit="1" customWidth="1"/>
    <col min="11270" max="11270" width="20.5703125" style="35" customWidth="1"/>
    <col min="11271" max="11271" width="14.85546875" style="35" customWidth="1"/>
    <col min="11272" max="11272" width="22.85546875" style="35" customWidth="1"/>
    <col min="11273" max="11273" width="21.42578125" style="35" bestFit="1" customWidth="1"/>
    <col min="11274" max="11274" width="14.5703125" style="35" customWidth="1"/>
    <col min="11275" max="11275" width="9.140625" style="35"/>
    <col min="11276" max="11276" width="13" style="35" customWidth="1"/>
    <col min="11277" max="11520" width="9.140625" style="35"/>
    <col min="11521" max="11521" width="5" style="35" customWidth="1"/>
    <col min="11522" max="11522" width="61.28515625" style="35" customWidth="1"/>
    <col min="11523" max="11523" width="10" style="35" customWidth="1"/>
    <col min="11524" max="11524" width="9.85546875" style="35" customWidth="1"/>
    <col min="11525" max="11525" width="15.5703125" style="35" bestFit="1" customWidth="1"/>
    <col min="11526" max="11526" width="20.5703125" style="35" customWidth="1"/>
    <col min="11527" max="11527" width="14.85546875" style="35" customWidth="1"/>
    <col min="11528" max="11528" width="22.85546875" style="35" customWidth="1"/>
    <col min="11529" max="11529" width="21.42578125" style="35" bestFit="1" customWidth="1"/>
    <col min="11530" max="11530" width="14.5703125" style="35" customWidth="1"/>
    <col min="11531" max="11531" width="9.140625" style="35"/>
    <col min="11532" max="11532" width="13" style="35" customWidth="1"/>
    <col min="11533" max="11776" width="9.140625" style="35"/>
    <col min="11777" max="11777" width="5" style="35" customWidth="1"/>
    <col min="11778" max="11778" width="61.28515625" style="35" customWidth="1"/>
    <col min="11779" max="11779" width="10" style="35" customWidth="1"/>
    <col min="11780" max="11780" width="9.85546875" style="35" customWidth="1"/>
    <col min="11781" max="11781" width="15.5703125" style="35" bestFit="1" customWidth="1"/>
    <col min="11782" max="11782" width="20.5703125" style="35" customWidth="1"/>
    <col min="11783" max="11783" width="14.85546875" style="35" customWidth="1"/>
    <col min="11784" max="11784" width="22.85546875" style="35" customWidth="1"/>
    <col min="11785" max="11785" width="21.42578125" style="35" bestFit="1" customWidth="1"/>
    <col min="11786" max="11786" width="14.5703125" style="35" customWidth="1"/>
    <col min="11787" max="11787" width="9.140625" style="35"/>
    <col min="11788" max="11788" width="13" style="35" customWidth="1"/>
    <col min="11789" max="12032" width="9.140625" style="35"/>
    <col min="12033" max="12033" width="5" style="35" customWidth="1"/>
    <col min="12034" max="12034" width="61.28515625" style="35" customWidth="1"/>
    <col min="12035" max="12035" width="10" style="35" customWidth="1"/>
    <col min="12036" max="12036" width="9.85546875" style="35" customWidth="1"/>
    <col min="12037" max="12037" width="15.5703125" style="35" bestFit="1" customWidth="1"/>
    <col min="12038" max="12038" width="20.5703125" style="35" customWidth="1"/>
    <col min="12039" max="12039" width="14.85546875" style="35" customWidth="1"/>
    <col min="12040" max="12040" width="22.85546875" style="35" customWidth="1"/>
    <col min="12041" max="12041" width="21.42578125" style="35" bestFit="1" customWidth="1"/>
    <col min="12042" max="12042" width="14.5703125" style="35" customWidth="1"/>
    <col min="12043" max="12043" width="9.140625" style="35"/>
    <col min="12044" max="12044" width="13" style="35" customWidth="1"/>
    <col min="12045" max="12288" width="9.140625" style="35"/>
    <col min="12289" max="12289" width="5" style="35" customWidth="1"/>
    <col min="12290" max="12290" width="61.28515625" style="35" customWidth="1"/>
    <col min="12291" max="12291" width="10" style="35" customWidth="1"/>
    <col min="12292" max="12292" width="9.85546875" style="35" customWidth="1"/>
    <col min="12293" max="12293" width="15.5703125" style="35" bestFit="1" customWidth="1"/>
    <col min="12294" max="12294" width="20.5703125" style="35" customWidth="1"/>
    <col min="12295" max="12295" width="14.85546875" style="35" customWidth="1"/>
    <col min="12296" max="12296" width="22.85546875" style="35" customWidth="1"/>
    <col min="12297" max="12297" width="21.42578125" style="35" bestFit="1" customWidth="1"/>
    <col min="12298" max="12298" width="14.5703125" style="35" customWidth="1"/>
    <col min="12299" max="12299" width="9.140625" style="35"/>
    <col min="12300" max="12300" width="13" style="35" customWidth="1"/>
    <col min="12301" max="12544" width="9.140625" style="35"/>
    <col min="12545" max="12545" width="5" style="35" customWidth="1"/>
    <col min="12546" max="12546" width="61.28515625" style="35" customWidth="1"/>
    <col min="12547" max="12547" width="10" style="35" customWidth="1"/>
    <col min="12548" max="12548" width="9.85546875" style="35" customWidth="1"/>
    <col min="12549" max="12549" width="15.5703125" style="35" bestFit="1" customWidth="1"/>
    <col min="12550" max="12550" width="20.5703125" style="35" customWidth="1"/>
    <col min="12551" max="12551" width="14.85546875" style="35" customWidth="1"/>
    <col min="12552" max="12552" width="22.85546875" style="35" customWidth="1"/>
    <col min="12553" max="12553" width="21.42578125" style="35" bestFit="1" customWidth="1"/>
    <col min="12554" max="12554" width="14.5703125" style="35" customWidth="1"/>
    <col min="12555" max="12555" width="9.140625" style="35"/>
    <col min="12556" max="12556" width="13" style="35" customWidth="1"/>
    <col min="12557" max="12800" width="9.140625" style="35"/>
    <col min="12801" max="12801" width="5" style="35" customWidth="1"/>
    <col min="12802" max="12802" width="61.28515625" style="35" customWidth="1"/>
    <col min="12803" max="12803" width="10" style="35" customWidth="1"/>
    <col min="12804" max="12804" width="9.85546875" style="35" customWidth="1"/>
    <col min="12805" max="12805" width="15.5703125" style="35" bestFit="1" customWidth="1"/>
    <col min="12806" max="12806" width="20.5703125" style="35" customWidth="1"/>
    <col min="12807" max="12807" width="14.85546875" style="35" customWidth="1"/>
    <col min="12808" max="12808" width="22.85546875" style="35" customWidth="1"/>
    <col min="12809" max="12809" width="21.42578125" style="35" bestFit="1" customWidth="1"/>
    <col min="12810" max="12810" width="14.5703125" style="35" customWidth="1"/>
    <col min="12811" max="12811" width="9.140625" style="35"/>
    <col min="12812" max="12812" width="13" style="35" customWidth="1"/>
    <col min="12813" max="13056" width="9.140625" style="35"/>
    <col min="13057" max="13057" width="5" style="35" customWidth="1"/>
    <col min="13058" max="13058" width="61.28515625" style="35" customWidth="1"/>
    <col min="13059" max="13059" width="10" style="35" customWidth="1"/>
    <col min="13060" max="13060" width="9.85546875" style="35" customWidth="1"/>
    <col min="13061" max="13061" width="15.5703125" style="35" bestFit="1" customWidth="1"/>
    <col min="13062" max="13062" width="20.5703125" style="35" customWidth="1"/>
    <col min="13063" max="13063" width="14.85546875" style="35" customWidth="1"/>
    <col min="13064" max="13064" width="22.85546875" style="35" customWidth="1"/>
    <col min="13065" max="13065" width="21.42578125" style="35" bestFit="1" customWidth="1"/>
    <col min="13066" max="13066" width="14.5703125" style="35" customWidth="1"/>
    <col min="13067" max="13067" width="9.140625" style="35"/>
    <col min="13068" max="13068" width="13" style="35" customWidth="1"/>
    <col min="13069" max="13312" width="9.140625" style="35"/>
    <col min="13313" max="13313" width="5" style="35" customWidth="1"/>
    <col min="13314" max="13314" width="61.28515625" style="35" customWidth="1"/>
    <col min="13315" max="13315" width="10" style="35" customWidth="1"/>
    <col min="13316" max="13316" width="9.85546875" style="35" customWidth="1"/>
    <col min="13317" max="13317" width="15.5703125" style="35" bestFit="1" customWidth="1"/>
    <col min="13318" max="13318" width="20.5703125" style="35" customWidth="1"/>
    <col min="13319" max="13319" width="14.85546875" style="35" customWidth="1"/>
    <col min="13320" max="13320" width="22.85546875" style="35" customWidth="1"/>
    <col min="13321" max="13321" width="21.42578125" style="35" bestFit="1" customWidth="1"/>
    <col min="13322" max="13322" width="14.5703125" style="35" customWidth="1"/>
    <col min="13323" max="13323" width="9.140625" style="35"/>
    <col min="13324" max="13324" width="13" style="35" customWidth="1"/>
    <col min="13325" max="13568" width="9.140625" style="35"/>
    <col min="13569" max="13569" width="5" style="35" customWidth="1"/>
    <col min="13570" max="13570" width="61.28515625" style="35" customWidth="1"/>
    <col min="13571" max="13571" width="10" style="35" customWidth="1"/>
    <col min="13572" max="13572" width="9.85546875" style="35" customWidth="1"/>
    <col min="13573" max="13573" width="15.5703125" style="35" bestFit="1" customWidth="1"/>
    <col min="13574" max="13574" width="20.5703125" style="35" customWidth="1"/>
    <col min="13575" max="13575" width="14.85546875" style="35" customWidth="1"/>
    <col min="13576" max="13576" width="22.85546875" style="35" customWidth="1"/>
    <col min="13577" max="13577" width="21.42578125" style="35" bestFit="1" customWidth="1"/>
    <col min="13578" max="13578" width="14.5703125" style="35" customWidth="1"/>
    <col min="13579" max="13579" width="9.140625" style="35"/>
    <col min="13580" max="13580" width="13" style="35" customWidth="1"/>
    <col min="13581" max="13824" width="9.140625" style="35"/>
    <col min="13825" max="13825" width="5" style="35" customWidth="1"/>
    <col min="13826" max="13826" width="61.28515625" style="35" customWidth="1"/>
    <col min="13827" max="13827" width="10" style="35" customWidth="1"/>
    <col min="13828" max="13828" width="9.85546875" style="35" customWidth="1"/>
    <col min="13829" max="13829" width="15.5703125" style="35" bestFit="1" customWidth="1"/>
    <col min="13830" max="13830" width="20.5703125" style="35" customWidth="1"/>
    <col min="13831" max="13831" width="14.85546875" style="35" customWidth="1"/>
    <col min="13832" max="13832" width="22.85546875" style="35" customWidth="1"/>
    <col min="13833" max="13833" width="21.42578125" style="35" bestFit="1" customWidth="1"/>
    <col min="13834" max="13834" width="14.5703125" style="35" customWidth="1"/>
    <col min="13835" max="13835" width="9.140625" style="35"/>
    <col min="13836" max="13836" width="13" style="35" customWidth="1"/>
    <col min="13837" max="14080" width="9.140625" style="35"/>
    <col min="14081" max="14081" width="5" style="35" customWidth="1"/>
    <col min="14082" max="14082" width="61.28515625" style="35" customWidth="1"/>
    <col min="14083" max="14083" width="10" style="35" customWidth="1"/>
    <col min="14084" max="14084" width="9.85546875" style="35" customWidth="1"/>
    <col min="14085" max="14085" width="15.5703125" style="35" bestFit="1" customWidth="1"/>
    <col min="14086" max="14086" width="20.5703125" style="35" customWidth="1"/>
    <col min="14087" max="14087" width="14.85546875" style="35" customWidth="1"/>
    <col min="14088" max="14088" width="22.85546875" style="35" customWidth="1"/>
    <col min="14089" max="14089" width="21.42578125" style="35" bestFit="1" customWidth="1"/>
    <col min="14090" max="14090" width="14.5703125" style="35" customWidth="1"/>
    <col min="14091" max="14091" width="9.140625" style="35"/>
    <col min="14092" max="14092" width="13" style="35" customWidth="1"/>
    <col min="14093" max="14336" width="9.140625" style="35"/>
    <col min="14337" max="14337" width="5" style="35" customWidth="1"/>
    <col min="14338" max="14338" width="61.28515625" style="35" customWidth="1"/>
    <col min="14339" max="14339" width="10" style="35" customWidth="1"/>
    <col min="14340" max="14340" width="9.85546875" style="35" customWidth="1"/>
    <col min="14341" max="14341" width="15.5703125" style="35" bestFit="1" customWidth="1"/>
    <col min="14342" max="14342" width="20.5703125" style="35" customWidth="1"/>
    <col min="14343" max="14343" width="14.85546875" style="35" customWidth="1"/>
    <col min="14344" max="14344" width="22.85546875" style="35" customWidth="1"/>
    <col min="14345" max="14345" width="21.42578125" style="35" bestFit="1" customWidth="1"/>
    <col min="14346" max="14346" width="14.5703125" style="35" customWidth="1"/>
    <col min="14347" max="14347" width="9.140625" style="35"/>
    <col min="14348" max="14348" width="13" style="35" customWidth="1"/>
    <col min="14349" max="14592" width="9.140625" style="35"/>
    <col min="14593" max="14593" width="5" style="35" customWidth="1"/>
    <col min="14594" max="14594" width="61.28515625" style="35" customWidth="1"/>
    <col min="14595" max="14595" width="10" style="35" customWidth="1"/>
    <col min="14596" max="14596" width="9.85546875" style="35" customWidth="1"/>
    <col min="14597" max="14597" width="15.5703125" style="35" bestFit="1" customWidth="1"/>
    <col min="14598" max="14598" width="20.5703125" style="35" customWidth="1"/>
    <col min="14599" max="14599" width="14.85546875" style="35" customWidth="1"/>
    <col min="14600" max="14600" width="22.85546875" style="35" customWidth="1"/>
    <col min="14601" max="14601" width="21.42578125" style="35" bestFit="1" customWidth="1"/>
    <col min="14602" max="14602" width="14.5703125" style="35" customWidth="1"/>
    <col min="14603" max="14603" width="9.140625" style="35"/>
    <col min="14604" max="14604" width="13" style="35" customWidth="1"/>
    <col min="14605" max="14848" width="9.140625" style="35"/>
    <col min="14849" max="14849" width="5" style="35" customWidth="1"/>
    <col min="14850" max="14850" width="61.28515625" style="35" customWidth="1"/>
    <col min="14851" max="14851" width="10" style="35" customWidth="1"/>
    <col min="14852" max="14852" width="9.85546875" style="35" customWidth="1"/>
    <col min="14853" max="14853" width="15.5703125" style="35" bestFit="1" customWidth="1"/>
    <col min="14854" max="14854" width="20.5703125" style="35" customWidth="1"/>
    <col min="14855" max="14855" width="14.85546875" style="35" customWidth="1"/>
    <col min="14856" max="14856" width="22.85546875" style="35" customWidth="1"/>
    <col min="14857" max="14857" width="21.42578125" style="35" bestFit="1" customWidth="1"/>
    <col min="14858" max="14858" width="14.5703125" style="35" customWidth="1"/>
    <col min="14859" max="14859" width="9.140625" style="35"/>
    <col min="14860" max="14860" width="13" style="35" customWidth="1"/>
    <col min="14861" max="15104" width="9.140625" style="35"/>
    <col min="15105" max="15105" width="5" style="35" customWidth="1"/>
    <col min="15106" max="15106" width="61.28515625" style="35" customWidth="1"/>
    <col min="15107" max="15107" width="10" style="35" customWidth="1"/>
    <col min="15108" max="15108" width="9.85546875" style="35" customWidth="1"/>
    <col min="15109" max="15109" width="15.5703125" style="35" bestFit="1" customWidth="1"/>
    <col min="15110" max="15110" width="20.5703125" style="35" customWidth="1"/>
    <col min="15111" max="15111" width="14.85546875" style="35" customWidth="1"/>
    <col min="15112" max="15112" width="22.85546875" style="35" customWidth="1"/>
    <col min="15113" max="15113" width="21.42578125" style="35" bestFit="1" customWidth="1"/>
    <col min="15114" max="15114" width="14.5703125" style="35" customWidth="1"/>
    <col min="15115" max="15115" width="9.140625" style="35"/>
    <col min="15116" max="15116" width="13" style="35" customWidth="1"/>
    <col min="15117" max="15360" width="9.140625" style="35"/>
    <col min="15361" max="15361" width="5" style="35" customWidth="1"/>
    <col min="15362" max="15362" width="61.28515625" style="35" customWidth="1"/>
    <col min="15363" max="15363" width="10" style="35" customWidth="1"/>
    <col min="15364" max="15364" width="9.85546875" style="35" customWidth="1"/>
    <col min="15365" max="15365" width="15.5703125" style="35" bestFit="1" customWidth="1"/>
    <col min="15366" max="15366" width="20.5703125" style="35" customWidth="1"/>
    <col min="15367" max="15367" width="14.85546875" style="35" customWidth="1"/>
    <col min="15368" max="15368" width="22.85546875" style="35" customWidth="1"/>
    <col min="15369" max="15369" width="21.42578125" style="35" bestFit="1" customWidth="1"/>
    <col min="15370" max="15370" width="14.5703125" style="35" customWidth="1"/>
    <col min="15371" max="15371" width="9.140625" style="35"/>
    <col min="15372" max="15372" width="13" style="35" customWidth="1"/>
    <col min="15373" max="15616" width="9.140625" style="35"/>
    <col min="15617" max="15617" width="5" style="35" customWidth="1"/>
    <col min="15618" max="15618" width="61.28515625" style="35" customWidth="1"/>
    <col min="15619" max="15619" width="10" style="35" customWidth="1"/>
    <col min="15620" max="15620" width="9.85546875" style="35" customWidth="1"/>
    <col min="15621" max="15621" width="15.5703125" style="35" bestFit="1" customWidth="1"/>
    <col min="15622" max="15622" width="20.5703125" style="35" customWidth="1"/>
    <col min="15623" max="15623" width="14.85546875" style="35" customWidth="1"/>
    <col min="15624" max="15624" width="22.85546875" style="35" customWidth="1"/>
    <col min="15625" max="15625" width="21.42578125" style="35" bestFit="1" customWidth="1"/>
    <col min="15626" max="15626" width="14.5703125" style="35" customWidth="1"/>
    <col min="15627" max="15627" width="9.140625" style="35"/>
    <col min="15628" max="15628" width="13" style="35" customWidth="1"/>
    <col min="15629" max="15872" width="9.140625" style="35"/>
    <col min="15873" max="15873" width="5" style="35" customWidth="1"/>
    <col min="15874" max="15874" width="61.28515625" style="35" customWidth="1"/>
    <col min="15875" max="15875" width="10" style="35" customWidth="1"/>
    <col min="15876" max="15876" width="9.85546875" style="35" customWidth="1"/>
    <col min="15877" max="15877" width="15.5703125" style="35" bestFit="1" customWidth="1"/>
    <col min="15878" max="15878" width="20.5703125" style="35" customWidth="1"/>
    <col min="15879" max="15879" width="14.85546875" style="35" customWidth="1"/>
    <col min="15880" max="15880" width="22.85546875" style="35" customWidth="1"/>
    <col min="15881" max="15881" width="21.42578125" style="35" bestFit="1" customWidth="1"/>
    <col min="15882" max="15882" width="14.5703125" style="35" customWidth="1"/>
    <col min="15883" max="15883" width="9.140625" style="35"/>
    <col min="15884" max="15884" width="13" style="35" customWidth="1"/>
    <col min="15885" max="16128" width="9.140625" style="35"/>
    <col min="16129" max="16129" width="5" style="35" customWidth="1"/>
    <col min="16130" max="16130" width="61.28515625" style="35" customWidth="1"/>
    <col min="16131" max="16131" width="10" style="35" customWidth="1"/>
    <col min="16132" max="16132" width="9.85546875" style="35" customWidth="1"/>
    <col min="16133" max="16133" width="15.5703125" style="35" bestFit="1" customWidth="1"/>
    <col min="16134" max="16134" width="20.5703125" style="35" customWidth="1"/>
    <col min="16135" max="16135" width="14.85546875" style="35" customWidth="1"/>
    <col min="16136" max="16136" width="22.85546875" style="35" customWidth="1"/>
    <col min="16137" max="16137" width="21.42578125" style="35" bestFit="1" customWidth="1"/>
    <col min="16138" max="16138" width="14.5703125" style="35" customWidth="1"/>
    <col min="16139" max="16139" width="9.140625" style="35"/>
    <col min="16140" max="16140" width="13" style="35" customWidth="1"/>
    <col min="16141" max="16384" width="9.140625" style="35"/>
  </cols>
  <sheetData>
    <row r="1" spans="1:12" ht="15" customHeight="1" x14ac:dyDescent="0.25">
      <c r="A1" s="32"/>
      <c r="B1" s="32"/>
      <c r="C1" s="32"/>
      <c r="D1" s="32"/>
      <c r="E1" s="32"/>
      <c r="F1" s="32"/>
      <c r="G1" s="33"/>
      <c r="H1" s="34"/>
      <c r="I1" s="34"/>
    </row>
    <row r="2" spans="1:12" ht="184.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12" ht="15" customHeight="1" x14ac:dyDescent="0.2">
      <c r="A3" s="37" t="s">
        <v>45</v>
      </c>
      <c r="B3" s="37" t="s">
        <v>46</v>
      </c>
      <c r="C3" s="37" t="s">
        <v>47</v>
      </c>
      <c r="D3" s="37" t="s">
        <v>48</v>
      </c>
      <c r="E3" s="38"/>
      <c r="F3" s="39" t="s">
        <v>49</v>
      </c>
      <c r="G3" s="39"/>
      <c r="H3" s="39"/>
      <c r="I3" s="78"/>
    </row>
    <row r="4" spans="1:12" ht="24" x14ac:dyDescent="0.2">
      <c r="A4" s="37"/>
      <c r="B4" s="37"/>
      <c r="C4" s="37"/>
      <c r="D4" s="37"/>
      <c r="E4" s="40" t="s">
        <v>50</v>
      </c>
      <c r="F4" s="41" t="s">
        <v>51</v>
      </c>
      <c r="G4" s="41" t="s">
        <v>52</v>
      </c>
      <c r="H4" s="41" t="s">
        <v>53</v>
      </c>
      <c r="I4" s="41" t="s">
        <v>54</v>
      </c>
    </row>
    <row r="5" spans="1:12" ht="14.25" customHeight="1" x14ac:dyDescent="0.2">
      <c r="A5" s="42" t="s">
        <v>55</v>
      </c>
      <c r="B5" s="42"/>
      <c r="C5" s="42"/>
      <c r="D5" s="42"/>
      <c r="E5" s="42"/>
      <c r="F5" s="42"/>
      <c r="G5" s="42"/>
      <c r="H5" s="42"/>
      <c r="I5" s="42"/>
    </row>
    <row r="6" spans="1:12" ht="39" customHeight="1" x14ac:dyDescent="0.2">
      <c r="A6" s="43">
        <v>1</v>
      </c>
      <c r="B6" s="44" t="s">
        <v>56</v>
      </c>
      <c r="C6" s="45" t="s">
        <v>57</v>
      </c>
      <c r="D6" s="45">
        <v>91</v>
      </c>
      <c r="E6" s="46">
        <f>25500/1.2</f>
        <v>21250</v>
      </c>
      <c r="F6" s="47">
        <f t="shared" ref="F6:F25" si="0">D6*E6</f>
        <v>1933750</v>
      </c>
      <c r="G6" s="48">
        <v>1.056</v>
      </c>
      <c r="H6" s="47">
        <f t="shared" ref="H6:H23" si="1">F6*G6</f>
        <v>2042040</v>
      </c>
      <c r="I6" s="47">
        <f t="shared" ref="I6:I23" si="2">H6*1.2</f>
        <v>2450448</v>
      </c>
      <c r="J6" s="49"/>
      <c r="L6" s="49"/>
    </row>
    <row r="7" spans="1:12" ht="19.5" customHeight="1" x14ac:dyDescent="0.2">
      <c r="A7" s="43">
        <v>2</v>
      </c>
      <c r="B7" s="44" t="s">
        <v>58</v>
      </c>
      <c r="C7" s="45" t="s">
        <v>57</v>
      </c>
      <c r="D7" s="45">
        <v>6</v>
      </c>
      <c r="E7" s="46">
        <f>18000/1.2</f>
        <v>15000</v>
      </c>
      <c r="F7" s="47">
        <f t="shared" si="0"/>
        <v>90000</v>
      </c>
      <c r="G7" s="48">
        <v>1.056</v>
      </c>
      <c r="H7" s="47">
        <f>F7*G7</f>
        <v>95040</v>
      </c>
      <c r="I7" s="47">
        <f>H7*1.2</f>
        <v>114048</v>
      </c>
      <c r="J7" s="49"/>
      <c r="L7" s="49"/>
    </row>
    <row r="8" spans="1:12" ht="34.5" customHeight="1" x14ac:dyDescent="0.2">
      <c r="A8" s="43">
        <v>3</v>
      </c>
      <c r="B8" s="44" t="s">
        <v>59</v>
      </c>
      <c r="C8" s="45" t="s">
        <v>57</v>
      </c>
      <c r="D8" s="45">
        <v>183</v>
      </c>
      <c r="E8" s="46">
        <f>36000/1.2</f>
        <v>30000</v>
      </c>
      <c r="F8" s="47">
        <f>D8*E8</f>
        <v>5490000</v>
      </c>
      <c r="G8" s="48">
        <v>1.056</v>
      </c>
      <c r="H8" s="47">
        <f t="shared" si="1"/>
        <v>5797440</v>
      </c>
      <c r="I8" s="47">
        <f t="shared" si="2"/>
        <v>6956928</v>
      </c>
      <c r="J8" s="49"/>
      <c r="L8" s="49"/>
    </row>
    <row r="9" spans="1:12" ht="20.25" customHeight="1" x14ac:dyDescent="0.2">
      <c r="A9" s="43">
        <v>4</v>
      </c>
      <c r="B9" s="44" t="s">
        <v>60</v>
      </c>
      <c r="C9" s="45" t="s">
        <v>57</v>
      </c>
      <c r="D9" s="45">
        <v>55</v>
      </c>
      <c r="E9" s="46">
        <f>32400/1.2</f>
        <v>27000</v>
      </c>
      <c r="F9" s="47">
        <f t="shared" si="0"/>
        <v>1485000</v>
      </c>
      <c r="G9" s="48">
        <v>1.056</v>
      </c>
      <c r="H9" s="47">
        <f t="shared" si="1"/>
        <v>1568160</v>
      </c>
      <c r="I9" s="47">
        <f t="shared" si="2"/>
        <v>1881792</v>
      </c>
      <c r="J9" s="49"/>
      <c r="L9" s="49"/>
    </row>
    <row r="10" spans="1:12" ht="15.75" x14ac:dyDescent="0.2">
      <c r="A10" s="43">
        <v>5</v>
      </c>
      <c r="B10" s="44" t="s">
        <v>61</v>
      </c>
      <c r="C10" s="45" t="s">
        <v>57</v>
      </c>
      <c r="D10" s="45">
        <v>60</v>
      </c>
      <c r="E10" s="46">
        <f>25200/1.2</f>
        <v>21000</v>
      </c>
      <c r="F10" s="47">
        <f t="shared" si="0"/>
        <v>1260000</v>
      </c>
      <c r="G10" s="48">
        <v>1.056</v>
      </c>
      <c r="H10" s="47">
        <f t="shared" si="1"/>
        <v>1330560</v>
      </c>
      <c r="I10" s="47">
        <f t="shared" si="2"/>
        <v>1596672</v>
      </c>
      <c r="J10" s="49"/>
      <c r="L10" s="49"/>
    </row>
    <row r="11" spans="1:12" ht="15.75" x14ac:dyDescent="0.2">
      <c r="A11" s="43">
        <v>6</v>
      </c>
      <c r="B11" s="44" t="s">
        <v>62</v>
      </c>
      <c r="C11" s="45" t="s">
        <v>57</v>
      </c>
      <c r="D11" s="45">
        <v>4</v>
      </c>
      <c r="E11" s="46">
        <f>25200/1.2</f>
        <v>21000</v>
      </c>
      <c r="F11" s="47">
        <f t="shared" si="0"/>
        <v>84000</v>
      </c>
      <c r="G11" s="48">
        <v>1.056</v>
      </c>
      <c r="H11" s="47">
        <f t="shared" si="1"/>
        <v>88704</v>
      </c>
      <c r="I11" s="47">
        <f t="shared" si="2"/>
        <v>106444.8</v>
      </c>
      <c r="J11" s="49"/>
      <c r="L11" s="49"/>
    </row>
    <row r="12" spans="1:12" ht="15.75" x14ac:dyDescent="0.2">
      <c r="A12" s="43">
        <v>7</v>
      </c>
      <c r="B12" s="44" t="s">
        <v>63</v>
      </c>
      <c r="C12" s="45" t="s">
        <v>57</v>
      </c>
      <c r="D12" s="45">
        <v>15</v>
      </c>
      <c r="E12" s="46">
        <f>980/1.2</f>
        <v>816.66666666666674</v>
      </c>
      <c r="F12" s="47">
        <f t="shared" si="0"/>
        <v>12250.000000000002</v>
      </c>
      <c r="G12" s="48">
        <v>1.056</v>
      </c>
      <c r="H12" s="47">
        <f t="shared" si="1"/>
        <v>12936.000000000002</v>
      </c>
      <c r="I12" s="47">
        <f t="shared" si="2"/>
        <v>15523.2</v>
      </c>
      <c r="J12" s="49"/>
      <c r="L12" s="49"/>
    </row>
    <row r="13" spans="1:12" ht="15.75" x14ac:dyDescent="0.2">
      <c r="A13" s="43">
        <v>8</v>
      </c>
      <c r="B13" s="44" t="s">
        <v>64</v>
      </c>
      <c r="C13" s="45" t="s">
        <v>57</v>
      </c>
      <c r="D13" s="45">
        <v>6</v>
      </c>
      <c r="E13" s="46">
        <f>980/1.2</f>
        <v>816.66666666666674</v>
      </c>
      <c r="F13" s="47">
        <f t="shared" si="0"/>
        <v>4900</v>
      </c>
      <c r="G13" s="48">
        <v>1.056</v>
      </c>
      <c r="H13" s="47">
        <f t="shared" si="1"/>
        <v>5174.4000000000005</v>
      </c>
      <c r="I13" s="47">
        <f t="shared" si="2"/>
        <v>6209.2800000000007</v>
      </c>
      <c r="J13" s="49"/>
      <c r="L13" s="49"/>
    </row>
    <row r="14" spans="1:12" ht="15.75" x14ac:dyDescent="0.2">
      <c r="A14" s="43">
        <v>9</v>
      </c>
      <c r="B14" s="44" t="s">
        <v>65</v>
      </c>
      <c r="C14" s="45" t="s">
        <v>57</v>
      </c>
      <c r="D14" s="45">
        <v>51</v>
      </c>
      <c r="E14" s="46">
        <f>980/1.2</f>
        <v>816.66666666666674</v>
      </c>
      <c r="F14" s="47">
        <f t="shared" si="0"/>
        <v>41650.000000000007</v>
      </c>
      <c r="G14" s="48">
        <v>1.056</v>
      </c>
      <c r="H14" s="47">
        <f t="shared" si="1"/>
        <v>43982.400000000009</v>
      </c>
      <c r="I14" s="47">
        <f t="shared" si="2"/>
        <v>52778.880000000012</v>
      </c>
      <c r="J14" s="49"/>
      <c r="L14" s="49"/>
    </row>
    <row r="15" spans="1:12" ht="15.75" x14ac:dyDescent="0.2">
      <c r="A15" s="43">
        <v>10</v>
      </c>
      <c r="B15" s="44" t="s">
        <v>66</v>
      </c>
      <c r="C15" s="45" t="s">
        <v>57</v>
      </c>
      <c r="D15" s="45">
        <v>36</v>
      </c>
      <c r="E15" s="46">
        <f t="shared" ref="E15:E22" si="3">980/1.2</f>
        <v>816.66666666666674</v>
      </c>
      <c r="F15" s="47">
        <f t="shared" si="0"/>
        <v>29400.000000000004</v>
      </c>
      <c r="G15" s="48">
        <v>1.056</v>
      </c>
      <c r="H15" s="47">
        <f t="shared" si="1"/>
        <v>31046.400000000005</v>
      </c>
      <c r="I15" s="47">
        <f t="shared" si="2"/>
        <v>37255.680000000008</v>
      </c>
      <c r="J15" s="49"/>
      <c r="L15" s="49"/>
    </row>
    <row r="16" spans="1:12" ht="15.75" x14ac:dyDescent="0.2">
      <c r="A16" s="43">
        <v>11</v>
      </c>
      <c r="B16" s="44" t="s">
        <v>67</v>
      </c>
      <c r="C16" s="45" t="s">
        <v>57</v>
      </c>
      <c r="D16" s="45">
        <v>39</v>
      </c>
      <c r="E16" s="46">
        <f t="shared" si="3"/>
        <v>816.66666666666674</v>
      </c>
      <c r="F16" s="47">
        <f t="shared" si="0"/>
        <v>31850.000000000004</v>
      </c>
      <c r="G16" s="48">
        <v>1.056</v>
      </c>
      <c r="H16" s="47">
        <f t="shared" si="1"/>
        <v>33633.600000000006</v>
      </c>
      <c r="I16" s="47">
        <f t="shared" si="2"/>
        <v>40360.320000000007</v>
      </c>
      <c r="J16" s="49"/>
      <c r="L16" s="49"/>
    </row>
    <row r="17" spans="1:12" ht="15.75" x14ac:dyDescent="0.2">
      <c r="A17" s="43">
        <v>12</v>
      </c>
      <c r="B17" s="44" t="s">
        <v>68</v>
      </c>
      <c r="C17" s="45" t="s">
        <v>57</v>
      </c>
      <c r="D17" s="45">
        <v>12</v>
      </c>
      <c r="E17" s="46">
        <f t="shared" si="3"/>
        <v>816.66666666666674</v>
      </c>
      <c r="F17" s="47">
        <f t="shared" si="0"/>
        <v>9800</v>
      </c>
      <c r="G17" s="48">
        <v>1.056</v>
      </c>
      <c r="H17" s="47">
        <f t="shared" si="1"/>
        <v>10348.800000000001</v>
      </c>
      <c r="I17" s="47">
        <f t="shared" si="2"/>
        <v>12418.560000000001</v>
      </c>
      <c r="J17" s="49"/>
      <c r="L17" s="49"/>
    </row>
    <row r="18" spans="1:12" ht="15.75" x14ac:dyDescent="0.2">
      <c r="A18" s="43">
        <v>13</v>
      </c>
      <c r="B18" s="44" t="s">
        <v>69</v>
      </c>
      <c r="C18" s="45" t="s">
        <v>57</v>
      </c>
      <c r="D18" s="45">
        <v>33</v>
      </c>
      <c r="E18" s="46">
        <f t="shared" si="3"/>
        <v>816.66666666666674</v>
      </c>
      <c r="F18" s="47">
        <f t="shared" si="0"/>
        <v>26950.000000000004</v>
      </c>
      <c r="G18" s="48">
        <v>1.056</v>
      </c>
      <c r="H18" s="47">
        <f t="shared" si="1"/>
        <v>28459.200000000004</v>
      </c>
      <c r="I18" s="47">
        <f t="shared" si="2"/>
        <v>34151.040000000001</v>
      </c>
      <c r="J18" s="49"/>
      <c r="L18" s="49"/>
    </row>
    <row r="19" spans="1:12" ht="15.75" x14ac:dyDescent="0.2">
      <c r="A19" s="43">
        <v>14</v>
      </c>
      <c r="B19" s="44" t="s">
        <v>70</v>
      </c>
      <c r="C19" s="45" t="s">
        <v>57</v>
      </c>
      <c r="D19" s="45">
        <v>18</v>
      </c>
      <c r="E19" s="46">
        <f t="shared" si="3"/>
        <v>816.66666666666674</v>
      </c>
      <c r="F19" s="47">
        <f t="shared" si="0"/>
        <v>14700.000000000002</v>
      </c>
      <c r="G19" s="48">
        <v>1.056</v>
      </c>
      <c r="H19" s="47">
        <f t="shared" si="1"/>
        <v>15523.200000000003</v>
      </c>
      <c r="I19" s="47">
        <f t="shared" si="2"/>
        <v>18627.840000000004</v>
      </c>
      <c r="J19" s="49">
        <f>SUM(D12:D22)</f>
        <v>243</v>
      </c>
      <c r="L19" s="49"/>
    </row>
    <row r="20" spans="1:12" ht="15.75" x14ac:dyDescent="0.2">
      <c r="A20" s="43">
        <v>15</v>
      </c>
      <c r="B20" s="44" t="s">
        <v>71</v>
      </c>
      <c r="C20" s="45" t="s">
        <v>57</v>
      </c>
      <c r="D20" s="45">
        <v>24</v>
      </c>
      <c r="E20" s="46">
        <f t="shared" si="3"/>
        <v>816.66666666666674</v>
      </c>
      <c r="F20" s="47">
        <f t="shared" si="0"/>
        <v>19600</v>
      </c>
      <c r="G20" s="48">
        <v>1.056</v>
      </c>
      <c r="H20" s="47">
        <f t="shared" si="1"/>
        <v>20697.600000000002</v>
      </c>
      <c r="I20" s="47">
        <f t="shared" si="2"/>
        <v>24837.120000000003</v>
      </c>
      <c r="J20" s="49"/>
      <c r="L20" s="49"/>
    </row>
    <row r="21" spans="1:12" ht="15.75" x14ac:dyDescent="0.2">
      <c r="A21" s="43">
        <v>16</v>
      </c>
      <c r="B21" s="44" t="s">
        <v>72</v>
      </c>
      <c r="C21" s="45" t="s">
        <v>57</v>
      </c>
      <c r="D21" s="45">
        <v>6</v>
      </c>
      <c r="E21" s="46">
        <f t="shared" si="3"/>
        <v>816.66666666666674</v>
      </c>
      <c r="F21" s="47">
        <f t="shared" si="0"/>
        <v>4900</v>
      </c>
      <c r="G21" s="48">
        <v>1.056</v>
      </c>
      <c r="H21" s="47">
        <f t="shared" si="1"/>
        <v>5174.4000000000005</v>
      </c>
      <c r="I21" s="47">
        <f t="shared" si="2"/>
        <v>6209.2800000000007</v>
      </c>
      <c r="J21" s="49"/>
      <c r="L21" s="49"/>
    </row>
    <row r="22" spans="1:12" ht="15.75" x14ac:dyDescent="0.2">
      <c r="A22" s="43">
        <v>17</v>
      </c>
      <c r="B22" s="44" t="s">
        <v>73</v>
      </c>
      <c r="C22" s="45" t="s">
        <v>57</v>
      </c>
      <c r="D22" s="45">
        <v>3</v>
      </c>
      <c r="E22" s="46">
        <f t="shared" si="3"/>
        <v>816.66666666666674</v>
      </c>
      <c r="F22" s="47">
        <f t="shared" si="0"/>
        <v>2450</v>
      </c>
      <c r="G22" s="48">
        <v>1.056</v>
      </c>
      <c r="H22" s="47">
        <f t="shared" si="1"/>
        <v>2587.2000000000003</v>
      </c>
      <c r="I22" s="47">
        <f t="shared" si="2"/>
        <v>3104.6400000000003</v>
      </c>
      <c r="J22" s="49"/>
      <c r="L22" s="49"/>
    </row>
    <row r="23" spans="1:12" ht="15.75" x14ac:dyDescent="0.2">
      <c r="A23" s="43">
        <v>18</v>
      </c>
      <c r="B23" s="44" t="s">
        <v>74</v>
      </c>
      <c r="C23" s="45" t="s">
        <v>57</v>
      </c>
      <c r="D23" s="45">
        <v>2</v>
      </c>
      <c r="E23" s="46">
        <f>27083.33</f>
        <v>27083.33</v>
      </c>
      <c r="F23" s="47">
        <f t="shared" si="0"/>
        <v>54166.66</v>
      </c>
      <c r="G23" s="48">
        <v>1.056</v>
      </c>
      <c r="H23" s="47">
        <f t="shared" si="1"/>
        <v>57199.992960000003</v>
      </c>
      <c r="I23" s="47">
        <f t="shared" si="2"/>
        <v>68639.991552000007</v>
      </c>
      <c r="J23" s="49"/>
      <c r="L23" s="49"/>
    </row>
    <row r="24" spans="1:12" ht="15.75" x14ac:dyDescent="0.2">
      <c r="A24" s="43">
        <v>19</v>
      </c>
      <c r="B24" s="44" t="s">
        <v>75</v>
      </c>
      <c r="C24" s="45" t="s">
        <v>57</v>
      </c>
      <c r="D24" s="45">
        <v>4</v>
      </c>
      <c r="E24" s="46">
        <f>27083.33</f>
        <v>27083.33</v>
      </c>
      <c r="F24" s="47">
        <f t="shared" si="0"/>
        <v>108333.32</v>
      </c>
      <c r="G24" s="48">
        <v>1.056</v>
      </c>
      <c r="H24" s="47">
        <f>F24*G24</f>
        <v>114399.98592000001</v>
      </c>
      <c r="I24" s="47">
        <f>H24*1.2</f>
        <v>137279.98310400001</v>
      </c>
      <c r="J24" s="49"/>
      <c r="L24" s="49"/>
    </row>
    <row r="25" spans="1:12" ht="17.25" customHeight="1" x14ac:dyDescent="0.2">
      <c r="A25" s="43">
        <v>20</v>
      </c>
      <c r="B25" s="44" t="s">
        <v>76</v>
      </c>
      <c r="C25" s="45" t="s">
        <v>57</v>
      </c>
      <c r="D25" s="45">
        <v>2</v>
      </c>
      <c r="E25" s="46">
        <f>27083.33</f>
        <v>27083.33</v>
      </c>
      <c r="F25" s="47">
        <f t="shared" si="0"/>
        <v>54166.66</v>
      </c>
      <c r="G25" s="48">
        <v>1.056</v>
      </c>
      <c r="H25" s="47">
        <f>F25*G25</f>
        <v>57199.992960000003</v>
      </c>
      <c r="I25" s="47">
        <f>H25*1.2</f>
        <v>68639.991552000007</v>
      </c>
      <c r="J25" s="49"/>
      <c r="L25" s="49"/>
    </row>
    <row r="26" spans="1:12" ht="19.5" customHeight="1" x14ac:dyDescent="0.2">
      <c r="A26" s="50" t="s">
        <v>77</v>
      </c>
      <c r="B26" s="50"/>
      <c r="C26" s="50"/>
      <c r="D26" s="50"/>
      <c r="E26" s="50"/>
      <c r="F26" s="50"/>
      <c r="G26" s="50"/>
      <c r="H26" s="51">
        <f>SUM(H6:H25)</f>
        <v>11360307.171840001</v>
      </c>
      <c r="I26" s="51">
        <f>SUM(I6:I25)</f>
        <v>13632368.606208</v>
      </c>
      <c r="J26" s="49"/>
      <c r="L26" s="52"/>
    </row>
    <row r="27" spans="1:12" ht="0.75" customHeight="1" x14ac:dyDescent="0.25">
      <c r="A27" s="53"/>
      <c r="B27" s="53"/>
      <c r="C27" s="53"/>
      <c r="D27" s="53"/>
      <c r="E27" s="53"/>
      <c r="F27" s="54"/>
      <c r="G27" s="54"/>
      <c r="H27" s="54"/>
      <c r="I27" s="54"/>
    </row>
    <row r="28" spans="1:12" ht="14.25" customHeight="1" x14ac:dyDescent="0.2">
      <c r="A28" s="42" t="s">
        <v>78</v>
      </c>
      <c r="B28" s="42"/>
      <c r="C28" s="42"/>
      <c r="D28" s="42"/>
      <c r="E28" s="42"/>
      <c r="F28" s="42"/>
      <c r="G28" s="42"/>
      <c r="H28" s="42"/>
      <c r="I28" s="42"/>
    </row>
    <row r="29" spans="1:12" ht="15.75" customHeight="1" x14ac:dyDescent="0.2">
      <c r="A29" s="43">
        <v>1</v>
      </c>
      <c r="B29" s="44" t="s">
        <v>56</v>
      </c>
      <c r="C29" s="45" t="s">
        <v>57</v>
      </c>
      <c r="D29" s="45">
        <v>91</v>
      </c>
      <c r="E29" s="46">
        <f>25500/1.2*1.056</f>
        <v>22440</v>
      </c>
      <c r="F29" s="47">
        <f t="shared" ref="F29:F44" si="4">D29*E29</f>
        <v>2042040</v>
      </c>
      <c r="G29" s="48">
        <v>1.0529999999999999</v>
      </c>
      <c r="H29" s="47">
        <f>F29*G29</f>
        <v>2150268.1199999996</v>
      </c>
      <c r="I29" s="47">
        <f>H29*1.2</f>
        <v>2580321.7439999995</v>
      </c>
    </row>
    <row r="30" spans="1:12" ht="18" customHeight="1" x14ac:dyDescent="0.2">
      <c r="A30" s="43">
        <v>2</v>
      </c>
      <c r="B30" s="44" t="s">
        <v>58</v>
      </c>
      <c r="C30" s="45" t="s">
        <v>57</v>
      </c>
      <c r="D30" s="45">
        <v>9</v>
      </c>
      <c r="E30" s="46">
        <f>18000/1.2*1.056</f>
        <v>15840</v>
      </c>
      <c r="F30" s="47">
        <f t="shared" si="4"/>
        <v>142560</v>
      </c>
      <c r="G30" s="48">
        <v>1.0529999999999999</v>
      </c>
      <c r="H30" s="47">
        <f>F30*G30</f>
        <v>150115.68</v>
      </c>
      <c r="I30" s="47">
        <f>H30*1.2</f>
        <v>180138.81599999999</v>
      </c>
    </row>
    <row r="31" spans="1:12" ht="36" customHeight="1" x14ac:dyDescent="0.2">
      <c r="A31" s="43">
        <v>3</v>
      </c>
      <c r="B31" s="44" t="s">
        <v>59</v>
      </c>
      <c r="C31" s="45" t="s">
        <v>57</v>
      </c>
      <c r="D31" s="45">
        <v>96</v>
      </c>
      <c r="E31" s="46">
        <f>36000/1.2*1.056</f>
        <v>31680</v>
      </c>
      <c r="F31" s="47">
        <f t="shared" si="4"/>
        <v>3041280</v>
      </c>
      <c r="G31" s="48">
        <v>1.0529999999999999</v>
      </c>
      <c r="H31" s="47">
        <f t="shared" ref="H31:H44" si="5">F31*G31</f>
        <v>3202467.8399999999</v>
      </c>
      <c r="I31" s="47">
        <f t="shared" ref="I31:I44" si="6">H31*1.2</f>
        <v>3842961.4079999998</v>
      </c>
    </row>
    <row r="32" spans="1:12" ht="19.5" customHeight="1" x14ac:dyDescent="0.2">
      <c r="A32" s="43">
        <v>4</v>
      </c>
      <c r="B32" s="44" t="s">
        <v>60</v>
      </c>
      <c r="C32" s="45" t="s">
        <v>57</v>
      </c>
      <c r="D32" s="45">
        <v>20</v>
      </c>
      <c r="E32" s="46">
        <f>32400/1.2*1.056</f>
        <v>28512</v>
      </c>
      <c r="F32" s="47">
        <f t="shared" si="4"/>
        <v>570240</v>
      </c>
      <c r="G32" s="48">
        <v>1.0529999999999999</v>
      </c>
      <c r="H32" s="47">
        <f t="shared" si="5"/>
        <v>600462.72</v>
      </c>
      <c r="I32" s="47">
        <f t="shared" si="6"/>
        <v>720555.26399999997</v>
      </c>
    </row>
    <row r="33" spans="1:10" ht="19.5" customHeight="1" x14ac:dyDescent="0.2">
      <c r="A33" s="43">
        <v>5</v>
      </c>
      <c r="B33" s="44" t="s">
        <v>61</v>
      </c>
      <c r="C33" s="45" t="s">
        <v>57</v>
      </c>
      <c r="D33" s="45">
        <v>9</v>
      </c>
      <c r="E33" s="46">
        <f>25200/1.2*1.056</f>
        <v>22176</v>
      </c>
      <c r="F33" s="47">
        <f t="shared" si="4"/>
        <v>199584</v>
      </c>
      <c r="G33" s="48">
        <v>1.0529999999999999</v>
      </c>
      <c r="H33" s="47">
        <f t="shared" si="5"/>
        <v>210161.95199999999</v>
      </c>
      <c r="I33" s="47">
        <f t="shared" si="6"/>
        <v>252194.34239999996</v>
      </c>
    </row>
    <row r="34" spans="1:10" ht="20.25" customHeight="1" x14ac:dyDescent="0.2">
      <c r="A34" s="43">
        <v>6</v>
      </c>
      <c r="B34" s="44" t="s">
        <v>62</v>
      </c>
      <c r="C34" s="45" t="s">
        <v>57</v>
      </c>
      <c r="D34" s="45">
        <v>3</v>
      </c>
      <c r="E34" s="46">
        <f>25200/1.2*1.056</f>
        <v>22176</v>
      </c>
      <c r="F34" s="47">
        <f t="shared" si="4"/>
        <v>66528</v>
      </c>
      <c r="G34" s="48">
        <v>1.0529999999999999</v>
      </c>
      <c r="H34" s="47">
        <f t="shared" si="5"/>
        <v>70053.983999999997</v>
      </c>
      <c r="I34" s="47">
        <f t="shared" si="6"/>
        <v>84064.780799999993</v>
      </c>
    </row>
    <row r="35" spans="1:10" ht="18" customHeight="1" x14ac:dyDescent="0.2">
      <c r="A35" s="43">
        <v>7</v>
      </c>
      <c r="B35" s="44" t="s">
        <v>65</v>
      </c>
      <c r="C35" s="45" t="s">
        <v>57</v>
      </c>
      <c r="D35" s="45">
        <v>15</v>
      </c>
      <c r="E35" s="46">
        <f t="shared" ref="E35:E42" si="7">980/1.2*1.056</f>
        <v>862.40000000000009</v>
      </c>
      <c r="F35" s="47">
        <f t="shared" si="4"/>
        <v>12936.000000000002</v>
      </c>
      <c r="G35" s="48">
        <v>1.0529999999999999</v>
      </c>
      <c r="H35" s="47">
        <f t="shared" si="5"/>
        <v>13621.608000000002</v>
      </c>
      <c r="I35" s="47">
        <f t="shared" si="6"/>
        <v>16345.929600000001</v>
      </c>
    </row>
    <row r="36" spans="1:10" ht="20.25" customHeight="1" x14ac:dyDescent="0.2">
      <c r="A36" s="43">
        <v>8</v>
      </c>
      <c r="B36" s="44" t="s">
        <v>66</v>
      </c>
      <c r="C36" s="45" t="s">
        <v>57</v>
      </c>
      <c r="D36" s="45">
        <v>12</v>
      </c>
      <c r="E36" s="46">
        <f t="shared" si="7"/>
        <v>862.40000000000009</v>
      </c>
      <c r="F36" s="47">
        <f t="shared" si="4"/>
        <v>10348.800000000001</v>
      </c>
      <c r="G36" s="48">
        <v>1.0529999999999999</v>
      </c>
      <c r="H36" s="47">
        <f t="shared" si="5"/>
        <v>10897.286400000001</v>
      </c>
      <c r="I36" s="47">
        <f t="shared" si="6"/>
        <v>13076.743680000001</v>
      </c>
    </row>
    <row r="37" spans="1:10" ht="20.25" customHeight="1" x14ac:dyDescent="0.2">
      <c r="A37" s="43">
        <v>9</v>
      </c>
      <c r="B37" s="44" t="s">
        <v>67</v>
      </c>
      <c r="C37" s="45" t="s">
        <v>57</v>
      </c>
      <c r="D37" s="45">
        <v>9</v>
      </c>
      <c r="E37" s="46">
        <f t="shared" si="7"/>
        <v>862.40000000000009</v>
      </c>
      <c r="F37" s="47">
        <f t="shared" si="4"/>
        <v>7761.6</v>
      </c>
      <c r="G37" s="48">
        <v>1.0529999999999999</v>
      </c>
      <c r="H37" s="47">
        <f t="shared" si="5"/>
        <v>8172.9647999999997</v>
      </c>
      <c r="I37" s="47">
        <f t="shared" si="6"/>
        <v>9807.5577599999997</v>
      </c>
    </row>
    <row r="38" spans="1:10" ht="20.25" customHeight="1" x14ac:dyDescent="0.2">
      <c r="A38" s="43">
        <v>10</v>
      </c>
      <c r="B38" s="44" t="s">
        <v>68</v>
      </c>
      <c r="C38" s="45" t="s">
        <v>57</v>
      </c>
      <c r="D38" s="45">
        <v>3</v>
      </c>
      <c r="E38" s="46">
        <f t="shared" si="7"/>
        <v>862.40000000000009</v>
      </c>
      <c r="F38" s="47">
        <f t="shared" si="4"/>
        <v>2587.2000000000003</v>
      </c>
      <c r="G38" s="48">
        <v>1.0529999999999999</v>
      </c>
      <c r="H38" s="47">
        <f t="shared" si="5"/>
        <v>2724.3216000000002</v>
      </c>
      <c r="I38" s="47">
        <f t="shared" si="6"/>
        <v>3269.1859200000004</v>
      </c>
      <c r="J38" s="52">
        <f>SUM(D35:D42)</f>
        <v>87</v>
      </c>
    </row>
    <row r="39" spans="1:10" ht="20.25" customHeight="1" x14ac:dyDescent="0.2">
      <c r="A39" s="43">
        <v>11</v>
      </c>
      <c r="B39" s="44" t="s">
        <v>69</v>
      </c>
      <c r="C39" s="45" t="s">
        <v>57</v>
      </c>
      <c r="D39" s="45">
        <v>3</v>
      </c>
      <c r="E39" s="46">
        <f t="shared" si="7"/>
        <v>862.40000000000009</v>
      </c>
      <c r="F39" s="47">
        <f t="shared" si="4"/>
        <v>2587.2000000000003</v>
      </c>
      <c r="G39" s="48">
        <v>1.0529999999999999</v>
      </c>
      <c r="H39" s="47">
        <f t="shared" si="5"/>
        <v>2724.3216000000002</v>
      </c>
      <c r="I39" s="47">
        <f t="shared" si="6"/>
        <v>3269.1859200000004</v>
      </c>
    </row>
    <row r="40" spans="1:10" ht="17.25" customHeight="1" x14ac:dyDescent="0.2">
      <c r="A40" s="43">
        <v>12</v>
      </c>
      <c r="B40" s="44" t="s">
        <v>70</v>
      </c>
      <c r="C40" s="45" t="s">
        <v>57</v>
      </c>
      <c r="D40" s="45">
        <v>15</v>
      </c>
      <c r="E40" s="46">
        <f t="shared" si="7"/>
        <v>862.40000000000009</v>
      </c>
      <c r="F40" s="47">
        <f t="shared" si="4"/>
        <v>12936.000000000002</v>
      </c>
      <c r="G40" s="48">
        <v>1.0529999999999999</v>
      </c>
      <c r="H40" s="47">
        <f t="shared" si="5"/>
        <v>13621.608000000002</v>
      </c>
      <c r="I40" s="47">
        <f t="shared" si="6"/>
        <v>16345.929600000001</v>
      </c>
    </row>
    <row r="41" spans="1:10" ht="17.25" customHeight="1" x14ac:dyDescent="0.2">
      <c r="A41" s="43">
        <v>13</v>
      </c>
      <c r="B41" s="44" t="s">
        <v>71</v>
      </c>
      <c r="C41" s="45" t="s">
        <v>57</v>
      </c>
      <c r="D41" s="45">
        <v>24</v>
      </c>
      <c r="E41" s="46">
        <f t="shared" si="7"/>
        <v>862.40000000000009</v>
      </c>
      <c r="F41" s="47">
        <f t="shared" si="4"/>
        <v>20697.600000000002</v>
      </c>
      <c r="G41" s="48">
        <v>1.0529999999999999</v>
      </c>
      <c r="H41" s="47">
        <f t="shared" si="5"/>
        <v>21794.572800000002</v>
      </c>
      <c r="I41" s="47">
        <f t="shared" si="6"/>
        <v>26153.487360000003</v>
      </c>
    </row>
    <row r="42" spans="1:10" ht="17.25" customHeight="1" x14ac:dyDescent="0.2">
      <c r="A42" s="43">
        <v>14</v>
      </c>
      <c r="B42" s="44" t="s">
        <v>72</v>
      </c>
      <c r="C42" s="45" t="s">
        <v>57</v>
      </c>
      <c r="D42" s="45">
        <v>6</v>
      </c>
      <c r="E42" s="46">
        <f t="shared" si="7"/>
        <v>862.40000000000009</v>
      </c>
      <c r="F42" s="47">
        <f t="shared" si="4"/>
        <v>5174.4000000000005</v>
      </c>
      <c r="G42" s="48">
        <v>1.0529999999999999</v>
      </c>
      <c r="H42" s="47">
        <f t="shared" si="5"/>
        <v>5448.6432000000004</v>
      </c>
      <c r="I42" s="47">
        <f t="shared" si="6"/>
        <v>6538.3718400000007</v>
      </c>
    </row>
    <row r="43" spans="1:10" ht="20.25" customHeight="1" x14ac:dyDescent="0.2">
      <c r="A43" s="43">
        <v>15</v>
      </c>
      <c r="B43" s="44" t="s">
        <v>74</v>
      </c>
      <c r="C43" s="45" t="s">
        <v>57</v>
      </c>
      <c r="D43" s="45">
        <v>2</v>
      </c>
      <c r="E43" s="46">
        <f>27083.33*1.056</f>
        <v>28599.996480000002</v>
      </c>
      <c r="F43" s="47">
        <f t="shared" si="4"/>
        <v>57199.992960000003</v>
      </c>
      <c r="G43" s="48">
        <v>1.0529999999999999</v>
      </c>
      <c r="H43" s="47">
        <f t="shared" si="5"/>
        <v>60231.592586879997</v>
      </c>
      <c r="I43" s="47">
        <f t="shared" si="6"/>
        <v>72277.911104255996</v>
      </c>
    </row>
    <row r="44" spans="1:10" ht="21.75" customHeight="1" x14ac:dyDescent="0.2">
      <c r="A44" s="43">
        <v>16</v>
      </c>
      <c r="B44" s="44" t="s">
        <v>79</v>
      </c>
      <c r="C44" s="45" t="s">
        <v>57</v>
      </c>
      <c r="D44" s="45">
        <v>2</v>
      </c>
      <c r="E44" s="46">
        <f>27083.33*1.056</f>
        <v>28599.996480000002</v>
      </c>
      <c r="F44" s="47">
        <f t="shared" si="4"/>
        <v>57199.992960000003</v>
      </c>
      <c r="G44" s="48">
        <v>1.0529999999999999</v>
      </c>
      <c r="H44" s="47">
        <f t="shared" si="5"/>
        <v>60231.592586879997</v>
      </c>
      <c r="I44" s="47">
        <f t="shared" si="6"/>
        <v>72277.911104255996</v>
      </c>
    </row>
    <row r="45" spans="1:10" ht="15.75" x14ac:dyDescent="0.25">
      <c r="A45" s="50" t="s">
        <v>80</v>
      </c>
      <c r="B45" s="50"/>
      <c r="C45" s="50"/>
      <c r="D45" s="50"/>
      <c r="E45" s="50"/>
      <c r="F45" s="50"/>
      <c r="G45" s="50"/>
      <c r="H45" s="55">
        <f>SUM(H29:H44)</f>
        <v>6582998.807573759</v>
      </c>
      <c r="I45" s="55">
        <f>SUM(I29:I44)</f>
        <v>7899598.5690885121</v>
      </c>
    </row>
    <row r="46" spans="1:10" ht="15.75" x14ac:dyDescent="0.2">
      <c r="A46" s="42" t="s">
        <v>81</v>
      </c>
      <c r="B46" s="42"/>
      <c r="C46" s="42"/>
      <c r="D46" s="42"/>
      <c r="E46" s="42"/>
      <c r="F46" s="42"/>
      <c r="G46" s="42"/>
      <c r="H46" s="42"/>
      <c r="I46" s="42"/>
    </row>
    <row r="47" spans="1:10" ht="35.25" customHeight="1" x14ac:dyDescent="0.2">
      <c r="A47" s="56">
        <v>1</v>
      </c>
      <c r="B47" s="44" t="s">
        <v>56</v>
      </c>
      <c r="C47" s="45" t="s">
        <v>57</v>
      </c>
      <c r="D47" s="45">
        <v>99</v>
      </c>
      <c r="E47" s="46">
        <f>25500/1.2*1.056*1.053</f>
        <v>23629.32</v>
      </c>
      <c r="F47" s="47">
        <f t="shared" ref="F47:F65" si="8">D47*E47</f>
        <v>2339302.6800000002</v>
      </c>
      <c r="G47" s="48">
        <v>1.0449999999999999</v>
      </c>
      <c r="H47" s="47">
        <f>F47*G47</f>
        <v>2444571.3006000002</v>
      </c>
      <c r="I47" s="47">
        <f>H47*1.2</f>
        <v>2933485.56072</v>
      </c>
    </row>
    <row r="48" spans="1:10" ht="15.75" x14ac:dyDescent="0.2">
      <c r="A48" s="56">
        <v>2</v>
      </c>
      <c r="B48" s="44" t="s">
        <v>58</v>
      </c>
      <c r="C48" s="45" t="s">
        <v>57</v>
      </c>
      <c r="D48" s="45">
        <v>4</v>
      </c>
      <c r="E48" s="46">
        <f>18000/1.2*1.056*1.053</f>
        <v>16679.52</v>
      </c>
      <c r="F48" s="47">
        <f t="shared" si="8"/>
        <v>66718.080000000002</v>
      </c>
      <c r="G48" s="48">
        <v>1.0449999999999999</v>
      </c>
      <c r="H48" s="47">
        <f>F48*G48</f>
        <v>69720.393599999996</v>
      </c>
      <c r="I48" s="47">
        <f>H48*1.2</f>
        <v>83664.472319999986</v>
      </c>
    </row>
    <row r="49" spans="1:10" ht="30.75" customHeight="1" x14ac:dyDescent="0.2">
      <c r="A49" s="56">
        <v>3</v>
      </c>
      <c r="B49" s="44" t="s">
        <v>59</v>
      </c>
      <c r="C49" s="45" t="s">
        <v>57</v>
      </c>
      <c r="D49" s="45">
        <v>88</v>
      </c>
      <c r="E49" s="46">
        <f>36000/1.2*1.056*1.053</f>
        <v>33359.040000000001</v>
      </c>
      <c r="F49" s="47">
        <f t="shared" si="8"/>
        <v>2935595.52</v>
      </c>
      <c r="G49" s="48">
        <v>1.0449999999999999</v>
      </c>
      <c r="H49" s="47">
        <f t="shared" ref="H49:H65" si="9">F49*G49</f>
        <v>3067697.3183999998</v>
      </c>
      <c r="I49" s="47">
        <f t="shared" ref="I49:I65" si="10">H49*1.2</f>
        <v>3681236.7820799998</v>
      </c>
    </row>
    <row r="50" spans="1:10" ht="15.75" x14ac:dyDescent="0.2">
      <c r="A50" s="56">
        <v>4</v>
      </c>
      <c r="B50" s="44" t="s">
        <v>60</v>
      </c>
      <c r="C50" s="45" t="s">
        <v>57</v>
      </c>
      <c r="D50" s="45">
        <v>34</v>
      </c>
      <c r="E50" s="46">
        <f>32400/1.2*1.056*1.053</f>
        <v>30023.135999999999</v>
      </c>
      <c r="F50" s="47">
        <f t="shared" si="8"/>
        <v>1020786.624</v>
      </c>
      <c r="G50" s="48">
        <v>1.0449999999999999</v>
      </c>
      <c r="H50" s="47">
        <f t="shared" si="9"/>
        <v>1066722.0220799998</v>
      </c>
      <c r="I50" s="47">
        <f t="shared" si="10"/>
        <v>1280066.4264959998</v>
      </c>
    </row>
    <row r="51" spans="1:10" ht="15.75" x14ac:dyDescent="0.2">
      <c r="A51" s="56">
        <v>5</v>
      </c>
      <c r="B51" s="44" t="s">
        <v>61</v>
      </c>
      <c r="C51" s="45" t="s">
        <v>57</v>
      </c>
      <c r="D51" s="45">
        <v>9</v>
      </c>
      <c r="E51" s="46">
        <f>25200/1.2*1.056*1.053</f>
        <v>23351.327999999998</v>
      </c>
      <c r="F51" s="47">
        <f t="shared" si="8"/>
        <v>210161.95199999999</v>
      </c>
      <c r="G51" s="48">
        <v>1.0449999999999999</v>
      </c>
      <c r="H51" s="47">
        <f t="shared" si="9"/>
        <v>219619.23983999997</v>
      </c>
      <c r="I51" s="47">
        <f t="shared" si="10"/>
        <v>263543.08780799992</v>
      </c>
    </row>
    <row r="52" spans="1:10" ht="15.75" x14ac:dyDescent="0.2">
      <c r="A52" s="56">
        <v>6</v>
      </c>
      <c r="B52" s="44" t="s">
        <v>62</v>
      </c>
      <c r="C52" s="45" t="s">
        <v>57</v>
      </c>
      <c r="D52" s="45">
        <v>3</v>
      </c>
      <c r="E52" s="46">
        <f>25200/1.2*1.056*1.053</f>
        <v>23351.327999999998</v>
      </c>
      <c r="F52" s="47">
        <f t="shared" si="8"/>
        <v>70053.983999999997</v>
      </c>
      <c r="G52" s="48">
        <v>1.0449999999999999</v>
      </c>
      <c r="H52" s="47">
        <f t="shared" si="9"/>
        <v>73206.413279999993</v>
      </c>
      <c r="I52" s="47">
        <f t="shared" si="10"/>
        <v>87847.695935999989</v>
      </c>
    </row>
    <row r="53" spans="1:10" ht="15.75" x14ac:dyDescent="0.2">
      <c r="A53" s="56">
        <v>7</v>
      </c>
      <c r="B53" s="44" t="s">
        <v>82</v>
      </c>
      <c r="C53" s="45" t="s">
        <v>57</v>
      </c>
      <c r="D53" s="45">
        <v>6</v>
      </c>
      <c r="E53" s="46">
        <f>980/1.2*1.056*1.053</f>
        <v>908.10720000000003</v>
      </c>
      <c r="F53" s="47">
        <f t="shared" si="8"/>
        <v>5448.6432000000004</v>
      </c>
      <c r="G53" s="48">
        <v>1.0449999999999999</v>
      </c>
      <c r="H53" s="47">
        <f t="shared" si="9"/>
        <v>5693.832144</v>
      </c>
      <c r="I53" s="47">
        <f t="shared" si="10"/>
        <v>6832.5985727999996</v>
      </c>
    </row>
    <row r="54" spans="1:10" ht="15.75" x14ac:dyDescent="0.2">
      <c r="A54" s="56">
        <v>8</v>
      </c>
      <c r="B54" s="44" t="s">
        <v>63</v>
      </c>
      <c r="C54" s="45" t="s">
        <v>57</v>
      </c>
      <c r="D54" s="45">
        <v>6</v>
      </c>
      <c r="E54" s="46">
        <f t="shared" ref="E54:E62" si="11">980/1.2*1.056*1.053</f>
        <v>908.10720000000003</v>
      </c>
      <c r="F54" s="47">
        <f t="shared" si="8"/>
        <v>5448.6432000000004</v>
      </c>
      <c r="G54" s="48">
        <v>1.0449999999999999</v>
      </c>
      <c r="H54" s="47">
        <f t="shared" si="9"/>
        <v>5693.832144</v>
      </c>
      <c r="I54" s="47">
        <f t="shared" si="10"/>
        <v>6832.5985727999996</v>
      </c>
    </row>
    <row r="55" spans="1:10" ht="15.75" x14ac:dyDescent="0.2">
      <c r="A55" s="56">
        <v>9</v>
      </c>
      <c r="B55" s="44" t="s">
        <v>64</v>
      </c>
      <c r="C55" s="45" t="s">
        <v>57</v>
      </c>
      <c r="D55" s="45">
        <v>3</v>
      </c>
      <c r="E55" s="46">
        <f t="shared" si="11"/>
        <v>908.10720000000003</v>
      </c>
      <c r="F55" s="47">
        <f t="shared" si="8"/>
        <v>2724.3216000000002</v>
      </c>
      <c r="G55" s="48">
        <v>1.0449999999999999</v>
      </c>
      <c r="H55" s="47">
        <f t="shared" si="9"/>
        <v>2846.916072</v>
      </c>
      <c r="I55" s="47">
        <f t="shared" si="10"/>
        <v>3416.2992863999998</v>
      </c>
    </row>
    <row r="56" spans="1:10" ht="15.75" x14ac:dyDescent="0.2">
      <c r="A56" s="56">
        <v>10</v>
      </c>
      <c r="B56" s="44" t="s">
        <v>65</v>
      </c>
      <c r="C56" s="45" t="s">
        <v>57</v>
      </c>
      <c r="D56" s="45">
        <v>12</v>
      </c>
      <c r="E56" s="46">
        <f t="shared" si="11"/>
        <v>908.10720000000003</v>
      </c>
      <c r="F56" s="47">
        <f t="shared" si="8"/>
        <v>10897.286400000001</v>
      </c>
      <c r="G56" s="48">
        <v>1.0449999999999999</v>
      </c>
      <c r="H56" s="47">
        <f t="shared" si="9"/>
        <v>11387.664288</v>
      </c>
      <c r="I56" s="47">
        <f t="shared" si="10"/>
        <v>13665.197145599999</v>
      </c>
      <c r="J56" s="35">
        <f>SUM(D53:D62)</f>
        <v>63</v>
      </c>
    </row>
    <row r="57" spans="1:10" ht="15.75" x14ac:dyDescent="0.2">
      <c r="A57" s="56">
        <v>11</v>
      </c>
      <c r="B57" s="44" t="s">
        <v>66</v>
      </c>
      <c r="C57" s="45" t="s">
        <v>57</v>
      </c>
      <c r="D57" s="45">
        <v>6</v>
      </c>
      <c r="E57" s="46">
        <f t="shared" si="11"/>
        <v>908.10720000000003</v>
      </c>
      <c r="F57" s="47">
        <f t="shared" si="8"/>
        <v>5448.6432000000004</v>
      </c>
      <c r="G57" s="48">
        <v>1.0449999999999999</v>
      </c>
      <c r="H57" s="47">
        <f t="shared" si="9"/>
        <v>5693.832144</v>
      </c>
      <c r="I57" s="47">
        <f t="shared" si="10"/>
        <v>6832.5985727999996</v>
      </c>
    </row>
    <row r="58" spans="1:10" ht="15.75" x14ac:dyDescent="0.2">
      <c r="A58" s="56">
        <v>12</v>
      </c>
      <c r="B58" s="44" t="s">
        <v>67</v>
      </c>
      <c r="C58" s="45" t="s">
        <v>57</v>
      </c>
      <c r="D58" s="45">
        <v>9</v>
      </c>
      <c r="E58" s="46">
        <f t="shared" si="11"/>
        <v>908.10720000000003</v>
      </c>
      <c r="F58" s="47">
        <f t="shared" si="8"/>
        <v>8172.9648000000007</v>
      </c>
      <c r="G58" s="48">
        <v>1.0449999999999999</v>
      </c>
      <c r="H58" s="47">
        <f t="shared" si="9"/>
        <v>8540.748216</v>
      </c>
      <c r="I58" s="47">
        <f t="shared" si="10"/>
        <v>10248.8978592</v>
      </c>
    </row>
    <row r="59" spans="1:10" ht="15.75" x14ac:dyDescent="0.2">
      <c r="A59" s="56">
        <v>13</v>
      </c>
      <c r="B59" s="44" t="s">
        <v>68</v>
      </c>
      <c r="C59" s="45" t="s">
        <v>57</v>
      </c>
      <c r="D59" s="45">
        <v>3</v>
      </c>
      <c r="E59" s="46">
        <f t="shared" si="11"/>
        <v>908.10720000000003</v>
      </c>
      <c r="F59" s="47">
        <f t="shared" si="8"/>
        <v>2724.3216000000002</v>
      </c>
      <c r="G59" s="48">
        <v>1.0449999999999999</v>
      </c>
      <c r="H59" s="47">
        <f t="shared" si="9"/>
        <v>2846.916072</v>
      </c>
      <c r="I59" s="47">
        <f t="shared" si="10"/>
        <v>3416.2992863999998</v>
      </c>
    </row>
    <row r="60" spans="1:10" ht="15.75" x14ac:dyDescent="0.2">
      <c r="A60" s="56">
        <v>14</v>
      </c>
      <c r="B60" s="44" t="s">
        <v>69</v>
      </c>
      <c r="C60" s="45" t="s">
        <v>57</v>
      </c>
      <c r="D60" s="45">
        <v>3</v>
      </c>
      <c r="E60" s="46">
        <f t="shared" si="11"/>
        <v>908.10720000000003</v>
      </c>
      <c r="F60" s="47">
        <f t="shared" si="8"/>
        <v>2724.3216000000002</v>
      </c>
      <c r="G60" s="48">
        <v>1.0449999999999999</v>
      </c>
      <c r="H60" s="47">
        <f t="shared" si="9"/>
        <v>2846.916072</v>
      </c>
      <c r="I60" s="47">
        <f t="shared" si="10"/>
        <v>3416.2992863999998</v>
      </c>
    </row>
    <row r="61" spans="1:10" ht="15.75" x14ac:dyDescent="0.2">
      <c r="A61" s="56">
        <v>15</v>
      </c>
      <c r="B61" s="44" t="s">
        <v>70</v>
      </c>
      <c r="C61" s="45" t="s">
        <v>57</v>
      </c>
      <c r="D61" s="45">
        <v>9</v>
      </c>
      <c r="E61" s="46">
        <f t="shared" si="11"/>
        <v>908.10720000000003</v>
      </c>
      <c r="F61" s="47">
        <f t="shared" si="8"/>
        <v>8172.9648000000007</v>
      </c>
      <c r="G61" s="48">
        <v>1.0449999999999999</v>
      </c>
      <c r="H61" s="47">
        <f t="shared" si="9"/>
        <v>8540.748216</v>
      </c>
      <c r="I61" s="47">
        <f t="shared" si="10"/>
        <v>10248.8978592</v>
      </c>
    </row>
    <row r="62" spans="1:10" ht="15.75" x14ac:dyDescent="0.2">
      <c r="A62" s="56">
        <v>16</v>
      </c>
      <c r="B62" s="44" t="s">
        <v>83</v>
      </c>
      <c r="C62" s="45" t="s">
        <v>57</v>
      </c>
      <c r="D62" s="45">
        <v>6</v>
      </c>
      <c r="E62" s="46">
        <f t="shared" si="11"/>
        <v>908.10720000000003</v>
      </c>
      <c r="F62" s="47">
        <f t="shared" si="8"/>
        <v>5448.6432000000004</v>
      </c>
      <c r="G62" s="48">
        <v>1.0449999999999999</v>
      </c>
      <c r="H62" s="47">
        <f t="shared" si="9"/>
        <v>5693.832144</v>
      </c>
      <c r="I62" s="47">
        <f t="shared" si="10"/>
        <v>6832.5985727999996</v>
      </c>
    </row>
    <row r="63" spans="1:10" ht="15.75" x14ac:dyDescent="0.2">
      <c r="A63" s="56">
        <v>17</v>
      </c>
      <c r="B63" s="44" t="s">
        <v>79</v>
      </c>
      <c r="C63" s="45" t="s">
        <v>57</v>
      </c>
      <c r="D63" s="45">
        <v>2</v>
      </c>
      <c r="E63" s="46">
        <f>27083.33*1.056*1.053</f>
        <v>30115.796293439998</v>
      </c>
      <c r="F63" s="47">
        <f t="shared" si="8"/>
        <v>60231.592586879997</v>
      </c>
      <c r="G63" s="48">
        <v>1.0449999999999999</v>
      </c>
      <c r="H63" s="47">
        <f t="shared" si="9"/>
        <v>62942.014253289592</v>
      </c>
      <c r="I63" s="47">
        <f t="shared" si="10"/>
        <v>75530.417103947504</v>
      </c>
    </row>
    <row r="64" spans="1:10" ht="15.75" x14ac:dyDescent="0.2">
      <c r="A64" s="56">
        <v>18</v>
      </c>
      <c r="B64" s="44" t="s">
        <v>76</v>
      </c>
      <c r="C64" s="45" t="s">
        <v>57</v>
      </c>
      <c r="D64" s="45">
        <v>4</v>
      </c>
      <c r="E64" s="46">
        <f>27083.33*1.056*1.053</f>
        <v>30115.796293439998</v>
      </c>
      <c r="F64" s="47">
        <f t="shared" si="8"/>
        <v>120463.18517375999</v>
      </c>
      <c r="G64" s="48">
        <v>1.0449999999999999</v>
      </c>
      <c r="H64" s="47">
        <f t="shared" si="9"/>
        <v>125884.02850657918</v>
      </c>
      <c r="I64" s="47">
        <f t="shared" si="10"/>
        <v>151060.83420789501</v>
      </c>
    </row>
    <row r="65" spans="1:10" ht="15.75" x14ac:dyDescent="0.2">
      <c r="A65" s="56">
        <v>19</v>
      </c>
      <c r="B65" s="44" t="s">
        <v>84</v>
      </c>
      <c r="C65" s="45" t="s">
        <v>57</v>
      </c>
      <c r="D65" s="45">
        <v>2</v>
      </c>
      <c r="E65" s="46">
        <f>27083.33*1.056*1.053</f>
        <v>30115.796293439998</v>
      </c>
      <c r="F65" s="47">
        <f t="shared" si="8"/>
        <v>60231.592586879997</v>
      </c>
      <c r="G65" s="48">
        <v>1.0449999999999999</v>
      </c>
      <c r="H65" s="47">
        <f t="shared" si="9"/>
        <v>62942.014253289592</v>
      </c>
      <c r="I65" s="47">
        <f t="shared" si="10"/>
        <v>75530.417103947504</v>
      </c>
    </row>
    <row r="66" spans="1:10" ht="18.75" customHeight="1" x14ac:dyDescent="0.25">
      <c r="A66" s="50" t="s">
        <v>85</v>
      </c>
      <c r="B66" s="50"/>
      <c r="C66" s="50"/>
      <c r="D66" s="50"/>
      <c r="E66" s="50"/>
      <c r="F66" s="50"/>
      <c r="G66" s="50"/>
      <c r="H66" s="55">
        <f>SUM(H47:H65)</f>
        <v>7253089.9823251562</v>
      </c>
      <c r="I66" s="55">
        <f>SUM(I47:I65)</f>
        <v>8703707.9787901901</v>
      </c>
    </row>
    <row r="67" spans="1:10" ht="15.75" x14ac:dyDescent="0.2">
      <c r="A67" s="42" t="s">
        <v>86</v>
      </c>
      <c r="B67" s="42"/>
      <c r="C67" s="42"/>
      <c r="D67" s="42"/>
      <c r="E67" s="42"/>
      <c r="F67" s="42"/>
      <c r="G67" s="42"/>
      <c r="H67" s="42"/>
      <c r="I67" s="42"/>
    </row>
    <row r="68" spans="1:10" ht="39" customHeight="1" x14ac:dyDescent="0.2">
      <c r="A68" s="56">
        <v>1</v>
      </c>
      <c r="B68" s="44" t="s">
        <v>56</v>
      </c>
      <c r="C68" s="45" t="s">
        <v>57</v>
      </c>
      <c r="D68" s="45">
        <v>172</v>
      </c>
      <c r="E68" s="46">
        <f>25500/1.2*1.056*1.053*1.045</f>
        <v>24692.639399999996</v>
      </c>
      <c r="F68" s="47">
        <f t="shared" ref="F68:F84" si="12">D68*E68</f>
        <v>4247133.9767999994</v>
      </c>
      <c r="G68" s="48">
        <v>1.044</v>
      </c>
      <c r="H68" s="47">
        <f>F68*G68</f>
        <v>4434007.8717791997</v>
      </c>
      <c r="I68" s="47">
        <f>H68*1.2</f>
        <v>5320809.4461350394</v>
      </c>
    </row>
    <row r="69" spans="1:10" ht="15.75" x14ac:dyDescent="0.2">
      <c r="A69" s="56">
        <v>2</v>
      </c>
      <c r="B69" s="44" t="s">
        <v>58</v>
      </c>
      <c r="C69" s="45" t="s">
        <v>57</v>
      </c>
      <c r="D69" s="45">
        <v>10</v>
      </c>
      <c r="E69" s="46">
        <f>18000/1.2*1.056*1.053*1.045</f>
        <v>17430.098399999999</v>
      </c>
      <c r="F69" s="47">
        <f t="shared" si="12"/>
        <v>174300.984</v>
      </c>
      <c r="G69" s="48">
        <v>1.044</v>
      </c>
      <c r="H69" s="47">
        <f>F69*G69</f>
        <v>181970.227296</v>
      </c>
      <c r="I69" s="47">
        <f>H69*1.2</f>
        <v>218364.27275519999</v>
      </c>
    </row>
    <row r="70" spans="1:10" ht="39" customHeight="1" x14ac:dyDescent="0.2">
      <c r="A70" s="56">
        <v>3</v>
      </c>
      <c r="B70" s="44" t="s">
        <v>59</v>
      </c>
      <c r="C70" s="45" t="s">
        <v>57</v>
      </c>
      <c r="D70" s="45">
        <v>111</v>
      </c>
      <c r="E70" s="46">
        <f>36000/1.2*1.056*1.053*1.045</f>
        <v>34860.196799999998</v>
      </c>
      <c r="F70" s="47">
        <f t="shared" si="12"/>
        <v>3869481.8447999996</v>
      </c>
      <c r="G70" s="48">
        <v>1.044</v>
      </c>
      <c r="H70" s="47">
        <f t="shared" ref="H70:H84" si="13">F70*G70</f>
        <v>4039739.0459711999</v>
      </c>
      <c r="I70" s="47">
        <f t="shared" ref="I70:I84" si="14">H70*1.2</f>
        <v>4847686.8551654397</v>
      </c>
    </row>
    <row r="71" spans="1:10" ht="15.75" x14ac:dyDescent="0.2">
      <c r="A71" s="56">
        <v>4</v>
      </c>
      <c r="B71" s="44" t="s">
        <v>60</v>
      </c>
      <c r="C71" s="45" t="s">
        <v>57</v>
      </c>
      <c r="D71" s="45">
        <v>29</v>
      </c>
      <c r="E71" s="46">
        <f>32400/1.2*1.056*1.053*1.045</f>
        <v>31374.177119999997</v>
      </c>
      <c r="F71" s="47">
        <f t="shared" si="12"/>
        <v>909851.13647999987</v>
      </c>
      <c r="G71" s="48">
        <v>1.044</v>
      </c>
      <c r="H71" s="47">
        <f t="shared" si="13"/>
        <v>949884.58648511989</v>
      </c>
      <c r="I71" s="47">
        <f t="shared" si="14"/>
        <v>1139861.5037821438</v>
      </c>
    </row>
    <row r="72" spans="1:10" ht="15.75" x14ac:dyDescent="0.2">
      <c r="A72" s="56">
        <v>5</v>
      </c>
      <c r="B72" s="44" t="s">
        <v>61</v>
      </c>
      <c r="C72" s="45" t="s">
        <v>57</v>
      </c>
      <c r="D72" s="45">
        <v>26</v>
      </c>
      <c r="E72" s="46">
        <f>25200/1.2*1.056*1.053*1.045</f>
        <v>24402.137759999994</v>
      </c>
      <c r="F72" s="47">
        <f t="shared" si="12"/>
        <v>634455.58175999986</v>
      </c>
      <c r="G72" s="48">
        <v>1.044</v>
      </c>
      <c r="H72" s="47">
        <f t="shared" si="13"/>
        <v>662371.62735743984</v>
      </c>
      <c r="I72" s="47">
        <f t="shared" si="14"/>
        <v>794845.95282892778</v>
      </c>
    </row>
    <row r="73" spans="1:10" ht="15.75" x14ac:dyDescent="0.2">
      <c r="A73" s="56">
        <v>6</v>
      </c>
      <c r="B73" s="44" t="s">
        <v>62</v>
      </c>
      <c r="C73" s="45" t="s">
        <v>57</v>
      </c>
      <c r="D73" s="45">
        <v>6</v>
      </c>
      <c r="E73" s="46">
        <f>25200/1.2*1.056*1.053*1.045</f>
        <v>24402.137759999994</v>
      </c>
      <c r="F73" s="47">
        <f t="shared" si="12"/>
        <v>146412.82655999996</v>
      </c>
      <c r="G73" s="48">
        <v>1.044</v>
      </c>
      <c r="H73" s="47">
        <f t="shared" si="13"/>
        <v>152854.99092863995</v>
      </c>
      <c r="I73" s="47">
        <f t="shared" si="14"/>
        <v>183425.98911436793</v>
      </c>
    </row>
    <row r="74" spans="1:10" ht="15.75" x14ac:dyDescent="0.2">
      <c r="A74" s="56">
        <v>7</v>
      </c>
      <c r="B74" s="44" t="s">
        <v>63</v>
      </c>
      <c r="C74" s="45" t="s">
        <v>57</v>
      </c>
      <c r="D74" s="45">
        <v>3</v>
      </c>
      <c r="E74" s="46">
        <f t="shared" ref="E74:E81" si="15">980/1.2*1.056*1.053*1.045</f>
        <v>948.97202399999992</v>
      </c>
      <c r="F74" s="47">
        <f t="shared" si="12"/>
        <v>2846.916072</v>
      </c>
      <c r="G74" s="48">
        <v>1.044</v>
      </c>
      <c r="H74" s="47">
        <f>F74*G74</f>
        <v>2972.1803791679999</v>
      </c>
      <c r="I74" s="47">
        <f>H74*1.2</f>
        <v>3566.6164550015997</v>
      </c>
    </row>
    <row r="75" spans="1:10" ht="15.75" x14ac:dyDescent="0.2">
      <c r="A75" s="56">
        <v>8</v>
      </c>
      <c r="B75" s="44" t="s">
        <v>64</v>
      </c>
      <c r="C75" s="45" t="s">
        <v>57</v>
      </c>
      <c r="D75" s="45">
        <v>9</v>
      </c>
      <c r="E75" s="46">
        <f t="shared" si="15"/>
        <v>948.97202399999992</v>
      </c>
      <c r="F75" s="47">
        <f t="shared" si="12"/>
        <v>8540.748216</v>
      </c>
      <c r="G75" s="48">
        <v>1.044</v>
      </c>
      <c r="H75" s="47">
        <f>F75*G75</f>
        <v>8916.5411375040003</v>
      </c>
      <c r="I75" s="47">
        <f>H75*1.2</f>
        <v>10699.8493650048</v>
      </c>
    </row>
    <row r="76" spans="1:10" ht="15.75" x14ac:dyDescent="0.2">
      <c r="A76" s="56">
        <v>9</v>
      </c>
      <c r="B76" s="44" t="s">
        <v>65</v>
      </c>
      <c r="C76" s="45" t="s">
        <v>57</v>
      </c>
      <c r="D76" s="45">
        <v>18</v>
      </c>
      <c r="E76" s="46">
        <f t="shared" si="15"/>
        <v>948.97202399999992</v>
      </c>
      <c r="F76" s="47">
        <f t="shared" si="12"/>
        <v>17081.496432</v>
      </c>
      <c r="G76" s="48">
        <v>1.044</v>
      </c>
      <c r="H76" s="47">
        <f t="shared" si="13"/>
        <v>17833.082275008001</v>
      </c>
      <c r="I76" s="47">
        <f t="shared" si="14"/>
        <v>21399.698730009601</v>
      </c>
    </row>
    <row r="77" spans="1:10" ht="15.75" x14ac:dyDescent="0.2">
      <c r="A77" s="56">
        <v>10</v>
      </c>
      <c r="B77" s="44" t="s">
        <v>66</v>
      </c>
      <c r="C77" s="45" t="s">
        <v>57</v>
      </c>
      <c r="D77" s="45">
        <v>12</v>
      </c>
      <c r="E77" s="46">
        <f t="shared" si="15"/>
        <v>948.97202399999992</v>
      </c>
      <c r="F77" s="47">
        <f t="shared" si="12"/>
        <v>11387.664288</v>
      </c>
      <c r="G77" s="48">
        <v>1.044</v>
      </c>
      <c r="H77" s="47">
        <f t="shared" si="13"/>
        <v>11888.721516672</v>
      </c>
      <c r="I77" s="47">
        <f t="shared" si="14"/>
        <v>14266.465820006399</v>
      </c>
      <c r="J77" s="35">
        <f>SUM(D74:D81)</f>
        <v>78</v>
      </c>
    </row>
    <row r="78" spans="1:10" ht="15.75" x14ac:dyDescent="0.2">
      <c r="A78" s="56">
        <v>11</v>
      </c>
      <c r="B78" s="44" t="s">
        <v>67</v>
      </c>
      <c r="C78" s="45" t="s">
        <v>57</v>
      </c>
      <c r="D78" s="45">
        <v>24</v>
      </c>
      <c r="E78" s="46">
        <f t="shared" si="15"/>
        <v>948.97202399999992</v>
      </c>
      <c r="F78" s="47">
        <f t="shared" si="12"/>
        <v>22775.328576</v>
      </c>
      <c r="G78" s="48">
        <v>1.044</v>
      </c>
      <c r="H78" s="47">
        <f t="shared" si="13"/>
        <v>23777.443033344</v>
      </c>
      <c r="I78" s="47">
        <f t="shared" si="14"/>
        <v>28532.931640012797</v>
      </c>
    </row>
    <row r="79" spans="1:10" ht="15.75" x14ac:dyDescent="0.2">
      <c r="A79" s="56">
        <v>12</v>
      </c>
      <c r="B79" s="44" t="s">
        <v>68</v>
      </c>
      <c r="C79" s="45" t="s">
        <v>57</v>
      </c>
      <c r="D79" s="45">
        <v>6</v>
      </c>
      <c r="E79" s="46">
        <f t="shared" si="15"/>
        <v>948.97202399999992</v>
      </c>
      <c r="F79" s="47">
        <f t="shared" si="12"/>
        <v>5693.832144</v>
      </c>
      <c r="G79" s="48">
        <v>1.044</v>
      </c>
      <c r="H79" s="47">
        <f t="shared" si="13"/>
        <v>5944.3607583359999</v>
      </c>
      <c r="I79" s="47">
        <f t="shared" si="14"/>
        <v>7133.2329100031993</v>
      </c>
    </row>
    <row r="80" spans="1:10" ht="15.75" x14ac:dyDescent="0.2">
      <c r="A80" s="56">
        <v>13</v>
      </c>
      <c r="B80" s="44" t="s">
        <v>69</v>
      </c>
      <c r="C80" s="45" t="s">
        <v>57</v>
      </c>
      <c r="D80" s="45">
        <v>3</v>
      </c>
      <c r="E80" s="46">
        <f t="shared" si="15"/>
        <v>948.97202399999992</v>
      </c>
      <c r="F80" s="47">
        <f t="shared" si="12"/>
        <v>2846.916072</v>
      </c>
      <c r="G80" s="48">
        <v>1.044</v>
      </c>
      <c r="H80" s="47">
        <f t="shared" si="13"/>
        <v>2972.1803791679999</v>
      </c>
      <c r="I80" s="47">
        <f t="shared" si="14"/>
        <v>3566.6164550015997</v>
      </c>
    </row>
    <row r="81" spans="1:10" ht="15.75" x14ac:dyDescent="0.2">
      <c r="A81" s="56">
        <v>14</v>
      </c>
      <c r="B81" s="44" t="s">
        <v>70</v>
      </c>
      <c r="C81" s="45" t="s">
        <v>57</v>
      </c>
      <c r="D81" s="45">
        <v>3</v>
      </c>
      <c r="E81" s="46">
        <f t="shared" si="15"/>
        <v>948.97202399999992</v>
      </c>
      <c r="F81" s="47">
        <f t="shared" si="12"/>
        <v>2846.916072</v>
      </c>
      <c r="G81" s="48">
        <v>1.044</v>
      </c>
      <c r="H81" s="47">
        <f t="shared" si="13"/>
        <v>2972.1803791679999</v>
      </c>
      <c r="I81" s="47">
        <f t="shared" si="14"/>
        <v>3566.6164550015997</v>
      </c>
    </row>
    <row r="82" spans="1:10" ht="15.75" x14ac:dyDescent="0.2">
      <c r="A82" s="56">
        <v>15</v>
      </c>
      <c r="B82" s="44" t="s">
        <v>87</v>
      </c>
      <c r="C82" s="45" t="s">
        <v>57</v>
      </c>
      <c r="D82" s="45">
        <v>2</v>
      </c>
      <c r="E82" s="46">
        <f>27083.33*1.056*1.053*1.045</f>
        <v>31471.007126644796</v>
      </c>
      <c r="F82" s="47">
        <f t="shared" si="12"/>
        <v>62942.014253289592</v>
      </c>
      <c r="G82" s="48">
        <v>1.044</v>
      </c>
      <c r="H82" s="47">
        <f t="shared" si="13"/>
        <v>65711.462880434337</v>
      </c>
      <c r="I82" s="47">
        <f t="shared" si="14"/>
        <v>78853.755456521205</v>
      </c>
    </row>
    <row r="83" spans="1:10" ht="15.75" x14ac:dyDescent="0.2">
      <c r="A83" s="56">
        <v>16</v>
      </c>
      <c r="B83" s="44" t="s">
        <v>74</v>
      </c>
      <c r="C83" s="45" t="s">
        <v>57</v>
      </c>
      <c r="D83" s="45">
        <v>2</v>
      </c>
      <c r="E83" s="46">
        <f>27083.33*1.056*1.053*1.045</f>
        <v>31471.007126644796</v>
      </c>
      <c r="F83" s="47">
        <f t="shared" si="12"/>
        <v>62942.014253289592</v>
      </c>
      <c r="G83" s="48">
        <v>1.044</v>
      </c>
      <c r="H83" s="47">
        <f t="shared" si="13"/>
        <v>65711.462880434337</v>
      </c>
      <c r="I83" s="47">
        <f t="shared" si="14"/>
        <v>78853.755456521205</v>
      </c>
    </row>
    <row r="84" spans="1:10" ht="15.75" x14ac:dyDescent="0.2">
      <c r="A84" s="56">
        <v>17</v>
      </c>
      <c r="B84" s="44" t="s">
        <v>75</v>
      </c>
      <c r="C84" s="45" t="s">
        <v>57</v>
      </c>
      <c r="D84" s="45">
        <v>4</v>
      </c>
      <c r="E84" s="46">
        <f>27083.33*1.056*1.053*1.045</f>
        <v>31471.007126644796</v>
      </c>
      <c r="F84" s="47">
        <f t="shared" si="12"/>
        <v>125884.02850657918</v>
      </c>
      <c r="G84" s="48">
        <v>1.044</v>
      </c>
      <c r="H84" s="47">
        <f t="shared" si="13"/>
        <v>131422.92576086867</v>
      </c>
      <c r="I84" s="47">
        <f t="shared" si="14"/>
        <v>157707.51091304241</v>
      </c>
    </row>
    <row r="85" spans="1:10" ht="15.75" x14ac:dyDescent="0.25">
      <c r="A85" s="50" t="s">
        <v>88</v>
      </c>
      <c r="B85" s="50"/>
      <c r="C85" s="50"/>
      <c r="D85" s="50"/>
      <c r="E85" s="50"/>
      <c r="F85" s="50"/>
      <c r="G85" s="50"/>
      <c r="H85" s="55">
        <f>SUM(H68:H84)</f>
        <v>10760950.891197704</v>
      </c>
      <c r="I85" s="55">
        <f>SUM(I68:I84)</f>
        <v>12913141.069437247</v>
      </c>
    </row>
    <row r="86" spans="1:10" ht="15.75" x14ac:dyDescent="0.2">
      <c r="A86" s="42" t="s">
        <v>89</v>
      </c>
      <c r="B86" s="42"/>
      <c r="C86" s="42"/>
      <c r="D86" s="42"/>
      <c r="E86" s="42"/>
      <c r="F86" s="42"/>
      <c r="G86" s="42"/>
      <c r="H86" s="42"/>
      <c r="I86" s="42"/>
    </row>
    <row r="87" spans="1:10" ht="36" customHeight="1" x14ac:dyDescent="0.2">
      <c r="A87" s="56">
        <v>1</v>
      </c>
      <c r="B87" s="44" t="s">
        <v>56</v>
      </c>
      <c r="C87" s="45" t="s">
        <v>57</v>
      </c>
      <c r="D87" s="45">
        <v>230</v>
      </c>
      <c r="E87" s="46">
        <f>25500/1.2*1.056*1.053*1.045*1.044</f>
        <v>25779.115533599997</v>
      </c>
      <c r="F87" s="47">
        <f t="shared" ref="F87:F101" si="16">D87*E87</f>
        <v>5929196.5727279996</v>
      </c>
      <c r="G87" s="48">
        <v>1.044</v>
      </c>
      <c r="H87" s="47">
        <f>F87*G87</f>
        <v>6190081.2219280321</v>
      </c>
      <c r="I87" s="47">
        <f>H87*1.2</f>
        <v>7428097.4663136387</v>
      </c>
    </row>
    <row r="88" spans="1:10" ht="15.75" x14ac:dyDescent="0.2">
      <c r="A88" s="56">
        <v>2</v>
      </c>
      <c r="B88" s="44" t="s">
        <v>58</v>
      </c>
      <c r="C88" s="45" t="s">
        <v>57</v>
      </c>
      <c r="D88" s="45">
        <v>5</v>
      </c>
      <c r="E88" s="46">
        <f>18000/1.2*1.056*1.053*1.045*1.044</f>
        <v>18197.022729600001</v>
      </c>
      <c r="F88" s="47">
        <f t="shared" si="16"/>
        <v>90985.113647999999</v>
      </c>
      <c r="G88" s="48">
        <v>1.044</v>
      </c>
      <c r="H88" s="47">
        <f>F88*G88</f>
        <v>94988.458648512009</v>
      </c>
      <c r="I88" s="47">
        <f>H88*1.2</f>
        <v>113986.15037821441</v>
      </c>
    </row>
    <row r="89" spans="1:10" ht="36" customHeight="1" x14ac:dyDescent="0.2">
      <c r="A89" s="56">
        <v>3</v>
      </c>
      <c r="B89" s="44" t="s">
        <v>59</v>
      </c>
      <c r="C89" s="45" t="s">
        <v>57</v>
      </c>
      <c r="D89" s="45">
        <v>170</v>
      </c>
      <c r="E89" s="46">
        <f>36000/1.2*1.056*1.053*1.045*1.044</f>
        <v>36394.045459200002</v>
      </c>
      <c r="F89" s="47">
        <f t="shared" si="16"/>
        <v>6186987.7280640006</v>
      </c>
      <c r="G89" s="48">
        <v>1.044</v>
      </c>
      <c r="H89" s="47">
        <f t="shared" ref="H89:H102" si="17">F89*G89</f>
        <v>6459215.1880988171</v>
      </c>
      <c r="I89" s="47">
        <f t="shared" ref="I89:I102" si="18">H89*1.2</f>
        <v>7751058.2257185802</v>
      </c>
    </row>
    <row r="90" spans="1:10" ht="15.75" x14ac:dyDescent="0.2">
      <c r="A90" s="56">
        <v>4</v>
      </c>
      <c r="B90" s="44" t="s">
        <v>60</v>
      </c>
      <c r="C90" s="45" t="s">
        <v>57</v>
      </c>
      <c r="D90" s="45">
        <v>41</v>
      </c>
      <c r="E90" s="46">
        <f>32400/1.2*1.056*1.053*1.045*1.044</f>
        <v>32754.640913279996</v>
      </c>
      <c r="F90" s="47">
        <f t="shared" si="16"/>
        <v>1342940.2774444798</v>
      </c>
      <c r="G90" s="48">
        <v>1.044</v>
      </c>
      <c r="H90" s="47">
        <f t="shared" si="17"/>
        <v>1402029.6496520368</v>
      </c>
      <c r="I90" s="47">
        <f t="shared" si="18"/>
        <v>1682435.5795824442</v>
      </c>
    </row>
    <row r="91" spans="1:10" ht="15.75" x14ac:dyDescent="0.2">
      <c r="A91" s="56">
        <v>5</v>
      </c>
      <c r="B91" s="44" t="s">
        <v>61</v>
      </c>
      <c r="C91" s="45" t="s">
        <v>57</v>
      </c>
      <c r="D91" s="45">
        <v>19</v>
      </c>
      <c r="E91" s="46">
        <f>25200/1.2*1.056*1.053*1.045*1.044</f>
        <v>25475.831821439995</v>
      </c>
      <c r="F91" s="47">
        <f t="shared" si="16"/>
        <v>484040.80460735993</v>
      </c>
      <c r="G91" s="48">
        <v>1.044</v>
      </c>
      <c r="H91" s="47">
        <f t="shared" si="17"/>
        <v>505338.60001008376</v>
      </c>
      <c r="I91" s="47">
        <f t="shared" si="18"/>
        <v>606406.32001210051</v>
      </c>
    </row>
    <row r="92" spans="1:10" ht="15.75" hidden="1" outlineLevel="1" x14ac:dyDescent="0.2">
      <c r="A92" s="56">
        <v>6</v>
      </c>
      <c r="B92" s="44" t="s">
        <v>62</v>
      </c>
      <c r="C92" s="45" t="s">
        <v>57</v>
      </c>
      <c r="D92" s="45"/>
      <c r="E92" s="46">
        <f>25200/1.2*1.056*1.053*1.045*1.044</f>
        <v>25475.831821439995</v>
      </c>
      <c r="F92" s="47">
        <f t="shared" si="16"/>
        <v>0</v>
      </c>
      <c r="G92" s="48">
        <v>1.044</v>
      </c>
      <c r="H92" s="47">
        <f t="shared" si="17"/>
        <v>0</v>
      </c>
      <c r="I92" s="47">
        <f t="shared" si="18"/>
        <v>0</v>
      </c>
    </row>
    <row r="93" spans="1:10" ht="15.75" collapsed="1" x14ac:dyDescent="0.2">
      <c r="A93" s="56">
        <v>7</v>
      </c>
      <c r="B93" s="44" t="s">
        <v>63</v>
      </c>
      <c r="C93" s="45" t="s">
        <v>57</v>
      </c>
      <c r="D93" s="45">
        <v>3</v>
      </c>
      <c r="E93" s="46">
        <f t="shared" ref="E93:E100" si="19">980/1.2*1.056*1.053*1.045*1.044</f>
        <v>990.72679305599991</v>
      </c>
      <c r="F93" s="47">
        <f t="shared" si="16"/>
        <v>2972.1803791679995</v>
      </c>
      <c r="G93" s="48">
        <v>1.044</v>
      </c>
      <c r="H93" s="47">
        <f t="shared" si="17"/>
        <v>3102.9563158513915</v>
      </c>
      <c r="I93" s="47">
        <f t="shared" si="18"/>
        <v>3723.5475790216697</v>
      </c>
    </row>
    <row r="94" spans="1:10" ht="15.75" x14ac:dyDescent="0.2">
      <c r="A94" s="56">
        <v>8</v>
      </c>
      <c r="B94" s="44" t="s">
        <v>64</v>
      </c>
      <c r="C94" s="45" t="s">
        <v>57</v>
      </c>
      <c r="D94" s="45">
        <v>3</v>
      </c>
      <c r="E94" s="46">
        <f t="shared" si="19"/>
        <v>990.72679305599991</v>
      </c>
      <c r="F94" s="47">
        <f t="shared" si="16"/>
        <v>2972.1803791679995</v>
      </c>
      <c r="G94" s="48">
        <v>1.044</v>
      </c>
      <c r="H94" s="47">
        <f t="shared" si="17"/>
        <v>3102.9563158513915</v>
      </c>
      <c r="I94" s="47">
        <f t="shared" si="18"/>
        <v>3723.5475790216697</v>
      </c>
    </row>
    <row r="95" spans="1:10" ht="15.75" x14ac:dyDescent="0.2">
      <c r="A95" s="56">
        <v>9</v>
      </c>
      <c r="B95" s="44" t="s">
        <v>65</v>
      </c>
      <c r="C95" s="45" t="s">
        <v>57</v>
      </c>
      <c r="D95" s="45">
        <v>12</v>
      </c>
      <c r="E95" s="46">
        <f t="shared" si="19"/>
        <v>990.72679305599991</v>
      </c>
      <c r="F95" s="47">
        <f t="shared" si="16"/>
        <v>11888.721516671998</v>
      </c>
      <c r="G95" s="48">
        <v>1.044</v>
      </c>
      <c r="H95" s="47">
        <f t="shared" si="17"/>
        <v>12411.825263405566</v>
      </c>
      <c r="I95" s="47">
        <f t="shared" si="18"/>
        <v>14894.190316086679</v>
      </c>
    </row>
    <row r="96" spans="1:10" ht="15.75" x14ac:dyDescent="0.2">
      <c r="A96" s="56">
        <v>10</v>
      </c>
      <c r="B96" s="44" t="s">
        <v>66</v>
      </c>
      <c r="C96" s="45" t="s">
        <v>57</v>
      </c>
      <c r="D96" s="45">
        <v>6</v>
      </c>
      <c r="E96" s="46">
        <f t="shared" si="19"/>
        <v>990.72679305599991</v>
      </c>
      <c r="F96" s="47">
        <f t="shared" si="16"/>
        <v>5944.360758335999</v>
      </c>
      <c r="G96" s="48">
        <v>1.044</v>
      </c>
      <c r="H96" s="47">
        <f t="shared" si="17"/>
        <v>6205.9126317027831</v>
      </c>
      <c r="I96" s="47">
        <f t="shared" si="18"/>
        <v>7447.0951580433393</v>
      </c>
      <c r="J96" s="35">
        <f>SUM(D93:D101)</f>
        <v>54</v>
      </c>
    </row>
    <row r="97" spans="1:9" ht="15.75" x14ac:dyDescent="0.2">
      <c r="A97" s="56">
        <v>11</v>
      </c>
      <c r="B97" s="44" t="s">
        <v>68</v>
      </c>
      <c r="C97" s="45" t="s">
        <v>57</v>
      </c>
      <c r="D97" s="45">
        <v>3</v>
      </c>
      <c r="E97" s="46">
        <f t="shared" si="19"/>
        <v>990.72679305599991</v>
      </c>
      <c r="F97" s="47">
        <f t="shared" si="16"/>
        <v>2972.1803791679995</v>
      </c>
      <c r="G97" s="48">
        <v>1.044</v>
      </c>
      <c r="H97" s="47">
        <f t="shared" si="17"/>
        <v>3102.9563158513915</v>
      </c>
      <c r="I97" s="47">
        <f t="shared" si="18"/>
        <v>3723.5475790216697</v>
      </c>
    </row>
    <row r="98" spans="1:9" ht="15.75" x14ac:dyDescent="0.2">
      <c r="A98" s="56">
        <v>12</v>
      </c>
      <c r="B98" s="44" t="s">
        <v>69</v>
      </c>
      <c r="C98" s="45" t="s">
        <v>57</v>
      </c>
      <c r="D98" s="45">
        <v>3</v>
      </c>
      <c r="E98" s="46">
        <f t="shared" si="19"/>
        <v>990.72679305599991</v>
      </c>
      <c r="F98" s="47">
        <f t="shared" si="16"/>
        <v>2972.1803791679995</v>
      </c>
      <c r="G98" s="48">
        <v>1.044</v>
      </c>
      <c r="H98" s="47">
        <f t="shared" si="17"/>
        <v>3102.9563158513915</v>
      </c>
      <c r="I98" s="47">
        <f t="shared" si="18"/>
        <v>3723.5475790216697</v>
      </c>
    </row>
    <row r="99" spans="1:9" ht="15.75" x14ac:dyDescent="0.2">
      <c r="A99" s="56">
        <v>13</v>
      </c>
      <c r="B99" s="44" t="s">
        <v>70</v>
      </c>
      <c r="C99" s="45" t="s">
        <v>57</v>
      </c>
      <c r="D99" s="45">
        <v>3</v>
      </c>
      <c r="E99" s="46">
        <f t="shared" si="19"/>
        <v>990.72679305599991</v>
      </c>
      <c r="F99" s="47">
        <f t="shared" si="16"/>
        <v>2972.1803791679995</v>
      </c>
      <c r="G99" s="48">
        <v>1.044</v>
      </c>
      <c r="H99" s="47">
        <f t="shared" si="17"/>
        <v>3102.9563158513915</v>
      </c>
      <c r="I99" s="47">
        <f t="shared" si="18"/>
        <v>3723.5475790216697</v>
      </c>
    </row>
    <row r="100" spans="1:9" ht="15.75" x14ac:dyDescent="0.2">
      <c r="A100" s="56">
        <v>14</v>
      </c>
      <c r="B100" s="44" t="s">
        <v>90</v>
      </c>
      <c r="C100" s="45" t="s">
        <v>57</v>
      </c>
      <c r="D100" s="45">
        <v>3</v>
      </c>
      <c r="E100" s="46">
        <f t="shared" si="19"/>
        <v>990.72679305599991</v>
      </c>
      <c r="F100" s="47">
        <f t="shared" si="16"/>
        <v>2972.1803791679995</v>
      </c>
      <c r="G100" s="48">
        <v>1.044</v>
      </c>
      <c r="H100" s="47">
        <f t="shared" si="17"/>
        <v>3102.9563158513915</v>
      </c>
      <c r="I100" s="47">
        <f t="shared" si="18"/>
        <v>3723.5475790216697</v>
      </c>
    </row>
    <row r="101" spans="1:9" ht="18.75" customHeight="1" x14ac:dyDescent="0.2">
      <c r="A101" s="56">
        <v>15</v>
      </c>
      <c r="B101" s="44" t="s">
        <v>83</v>
      </c>
      <c r="C101" s="45" t="s">
        <v>57</v>
      </c>
      <c r="D101" s="45">
        <v>18</v>
      </c>
      <c r="E101" s="46">
        <f>980/1.2*1.056*1.053*1.045*1.044</f>
        <v>990.72679305599991</v>
      </c>
      <c r="F101" s="47">
        <f t="shared" si="16"/>
        <v>17833.082275007997</v>
      </c>
      <c r="G101" s="48">
        <v>1.044</v>
      </c>
      <c r="H101" s="47">
        <f t="shared" si="17"/>
        <v>18617.737895108348</v>
      </c>
      <c r="I101" s="47">
        <f t="shared" si="18"/>
        <v>22341.285474130018</v>
      </c>
    </row>
    <row r="102" spans="1:9" ht="19.5" customHeight="1" x14ac:dyDescent="0.2">
      <c r="A102" s="56">
        <v>16</v>
      </c>
      <c r="B102" s="44" t="s">
        <v>91</v>
      </c>
      <c r="C102" s="45" t="s">
        <v>57</v>
      </c>
      <c r="D102" s="45">
        <v>6</v>
      </c>
      <c r="E102" s="46">
        <f>27083.33*1.056*1.053*1.045*1.044</f>
        <v>32855.731440217169</v>
      </c>
      <c r="F102" s="47">
        <f>D102*E102</f>
        <v>197134.388641303</v>
      </c>
      <c r="G102" s="48">
        <v>1.044</v>
      </c>
      <c r="H102" s="47">
        <f t="shared" si="17"/>
        <v>205808.30174152035</v>
      </c>
      <c r="I102" s="47">
        <f t="shared" si="18"/>
        <v>246969.9620898244</v>
      </c>
    </row>
    <row r="103" spans="1:9" ht="15.75" x14ac:dyDescent="0.25">
      <c r="A103" s="50" t="s">
        <v>92</v>
      </c>
      <c r="B103" s="50"/>
      <c r="C103" s="50"/>
      <c r="D103" s="50"/>
      <c r="E103" s="50"/>
      <c r="F103" s="50"/>
      <c r="G103" s="50"/>
      <c r="H103" s="55">
        <f>SUM(H86:H102)</f>
        <v>14913314.633764327</v>
      </c>
      <c r="I103" s="55">
        <f>SUM(I86:I102)</f>
        <v>17895977.560517188</v>
      </c>
    </row>
    <row r="104" spans="1:9" ht="15.75" x14ac:dyDescent="0.25">
      <c r="A104" s="57" t="s">
        <v>93</v>
      </c>
      <c r="B104" s="57"/>
      <c r="C104" s="57"/>
      <c r="D104" s="57"/>
      <c r="E104" s="57"/>
      <c r="F104" s="57"/>
      <c r="G104" s="57"/>
      <c r="H104" s="55">
        <f>H26+H45+H66+H85+H103</f>
        <v>50870661.486700945</v>
      </c>
      <c r="I104" s="55">
        <f>I26+I45+I66+I85+I103</f>
        <v>61044793.784041137</v>
      </c>
    </row>
    <row r="105" spans="1:9" ht="15.75" x14ac:dyDescent="0.25">
      <c r="A105" s="58"/>
      <c r="B105" s="59"/>
      <c r="C105" s="60"/>
      <c r="D105" s="61"/>
      <c r="E105" s="61"/>
      <c r="F105" s="60"/>
      <c r="G105" s="60"/>
      <c r="H105" s="62"/>
      <c r="I105" s="62"/>
    </row>
    <row r="106" spans="1:9" ht="15.75" x14ac:dyDescent="0.25">
      <c r="B106" s="32" t="s">
        <v>94</v>
      </c>
    </row>
  </sheetData>
  <mergeCells count="18">
    <mergeCell ref="A67:I67"/>
    <mergeCell ref="A85:G85"/>
    <mergeCell ref="A86:I86"/>
    <mergeCell ref="A103:G103"/>
    <mergeCell ref="A104:G104"/>
    <mergeCell ref="A26:G26"/>
    <mergeCell ref="A28:I28"/>
    <mergeCell ref="A45:G45"/>
    <mergeCell ref="A46:I46"/>
    <mergeCell ref="A66:G66"/>
    <mergeCell ref="G1:I1"/>
    <mergeCell ref="A2:I2"/>
    <mergeCell ref="A3:A4"/>
    <mergeCell ref="B3:B4"/>
    <mergeCell ref="C3:C4"/>
    <mergeCell ref="D3:D4"/>
    <mergeCell ref="F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topLeftCell="B1" workbookViewId="0">
      <selection activeCell="B2" sqref="B2:M5"/>
    </sheetView>
  </sheetViews>
  <sheetFormatPr defaultRowHeight="15" x14ac:dyDescent="0.25"/>
  <cols>
    <col min="1" max="1" width="4.5703125" style="63" hidden="1" customWidth="1"/>
    <col min="2" max="2" width="4.42578125" style="63" customWidth="1"/>
    <col min="3" max="3" width="28" style="63" customWidth="1"/>
    <col min="4" max="4" width="58.140625" style="63" customWidth="1"/>
    <col min="5" max="5" width="25.42578125" style="63" hidden="1" customWidth="1"/>
    <col min="6" max="6" width="13.140625" style="63" customWidth="1"/>
    <col min="7" max="7" width="13.28515625" style="63" customWidth="1"/>
    <col min="8" max="9" width="14.28515625" style="63" customWidth="1"/>
    <col min="10" max="10" width="12.85546875" style="63" customWidth="1"/>
    <col min="11" max="11" width="15" style="63" customWidth="1"/>
    <col min="12" max="12" width="14.85546875" style="63" customWidth="1"/>
    <col min="13" max="13" width="15" style="63" customWidth="1"/>
    <col min="14" max="16384" width="9.140625" style="63"/>
  </cols>
  <sheetData>
    <row r="1" spans="1:13" ht="146.25" customHeight="1" x14ac:dyDescent="0.2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" customHeight="1" x14ac:dyDescent="0.25">
      <c r="B2" s="69" t="s">
        <v>1</v>
      </c>
      <c r="C2" s="70" t="s">
        <v>2</v>
      </c>
      <c r="D2" s="69" t="s">
        <v>3</v>
      </c>
      <c r="E2" s="71" t="s">
        <v>4</v>
      </c>
      <c r="F2" s="72"/>
      <c r="G2" s="72"/>
      <c r="H2" s="72"/>
      <c r="I2" s="72"/>
      <c r="J2" s="72"/>
      <c r="K2" s="73"/>
      <c r="L2" s="73"/>
      <c r="M2" s="74"/>
    </row>
    <row r="3" spans="1:13" ht="27.75" customHeight="1" x14ac:dyDescent="0.25">
      <c r="B3" s="69"/>
      <c r="C3" s="70"/>
      <c r="D3" s="69"/>
      <c r="E3" s="69" t="s">
        <v>5</v>
      </c>
      <c r="F3" s="69" t="s">
        <v>6</v>
      </c>
      <c r="G3" s="69" t="s">
        <v>7</v>
      </c>
      <c r="H3" s="69" t="s">
        <v>8</v>
      </c>
      <c r="I3" s="69" t="s">
        <v>9</v>
      </c>
      <c r="J3" s="75" t="s">
        <v>10</v>
      </c>
      <c r="K3" s="75" t="s">
        <v>11</v>
      </c>
      <c r="L3" s="75" t="s">
        <v>12</v>
      </c>
      <c r="M3" s="75" t="s">
        <v>13</v>
      </c>
    </row>
    <row r="4" spans="1:13" ht="21.75" customHeight="1" x14ac:dyDescent="0.25">
      <c r="B4" s="69"/>
      <c r="C4" s="70"/>
      <c r="D4" s="69"/>
      <c r="E4" s="69"/>
      <c r="F4" s="69"/>
      <c r="G4" s="69"/>
      <c r="H4" s="69"/>
      <c r="I4" s="69"/>
      <c r="J4" s="76"/>
      <c r="K4" s="76"/>
      <c r="L4" s="76"/>
      <c r="M4" s="76"/>
    </row>
    <row r="5" spans="1:13" ht="14.25" customHeight="1" x14ac:dyDescent="0.25">
      <c r="B5" s="69"/>
      <c r="C5" s="70"/>
      <c r="D5" s="69"/>
      <c r="E5" s="69"/>
      <c r="F5" s="69"/>
      <c r="G5" s="69"/>
      <c r="H5" s="69"/>
      <c r="I5" s="69"/>
      <c r="J5" s="77"/>
      <c r="K5" s="77"/>
      <c r="L5" s="77"/>
      <c r="M5" s="77"/>
    </row>
    <row r="6" spans="1:13" ht="16.5" customHeight="1" x14ac:dyDescent="0.25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/>
      <c r="J6" s="1">
        <v>8</v>
      </c>
      <c r="K6" s="2"/>
      <c r="L6" s="2"/>
      <c r="M6" s="2"/>
    </row>
    <row r="7" spans="1:13" ht="20.100000000000001" customHeight="1" x14ac:dyDescent="0.25">
      <c r="A7" s="64"/>
      <c r="B7" s="3" t="s">
        <v>14</v>
      </c>
      <c r="C7" s="4"/>
      <c r="D7" s="4"/>
      <c r="E7" s="4"/>
      <c r="F7" s="4"/>
      <c r="G7" s="4"/>
      <c r="H7" s="4"/>
      <c r="I7" s="4"/>
      <c r="J7" s="4"/>
      <c r="K7" s="2"/>
      <c r="L7" s="2"/>
      <c r="M7" s="5"/>
    </row>
    <row r="8" spans="1:13" ht="33.75" customHeight="1" x14ac:dyDescent="0.25">
      <c r="A8" s="64"/>
      <c r="B8" s="6">
        <v>1</v>
      </c>
      <c r="C8" s="6" t="s">
        <v>15</v>
      </c>
      <c r="D8" s="7" t="s">
        <v>16</v>
      </c>
      <c r="E8" s="8"/>
      <c r="F8" s="8">
        <v>2550789.34</v>
      </c>
      <c r="G8" s="8">
        <v>43090.07</v>
      </c>
      <c r="H8" s="8">
        <v>684626.96</v>
      </c>
      <c r="I8" s="8"/>
      <c r="J8" s="8">
        <f>F8+G8+H8</f>
        <v>3278506.3699999996</v>
      </c>
      <c r="K8" s="9"/>
      <c r="L8" s="9"/>
      <c r="M8" s="9">
        <f>J8+K8+L8</f>
        <v>3278506.3699999996</v>
      </c>
    </row>
    <row r="9" spans="1:13" ht="20.100000000000001" customHeight="1" x14ac:dyDescent="0.25">
      <c r="A9" s="64"/>
      <c r="B9" s="10"/>
      <c r="C9" s="11"/>
      <c r="D9" s="11" t="s">
        <v>17</v>
      </c>
      <c r="E9" s="8"/>
      <c r="F9" s="8"/>
      <c r="G9" s="12"/>
      <c r="H9" s="12"/>
      <c r="I9" s="12"/>
      <c r="J9" s="13"/>
      <c r="K9" s="17"/>
      <c r="L9" s="17"/>
      <c r="M9" s="14">
        <f>M8*1.042</f>
        <v>3416203.6375399996</v>
      </c>
    </row>
    <row r="10" spans="1:13" ht="20.100000000000001" customHeight="1" x14ac:dyDescent="0.25">
      <c r="A10" s="64"/>
      <c r="B10" s="3" t="s">
        <v>18</v>
      </c>
      <c r="C10" s="4"/>
      <c r="D10" s="4"/>
      <c r="E10" s="4"/>
      <c r="F10" s="4"/>
      <c r="G10" s="4"/>
      <c r="H10" s="4"/>
      <c r="I10" s="4"/>
      <c r="J10" s="4"/>
      <c r="K10" s="2"/>
      <c r="L10" s="2"/>
      <c r="M10" s="5"/>
    </row>
    <row r="11" spans="1:13" ht="28.5" customHeight="1" x14ac:dyDescent="0.25">
      <c r="A11" s="64"/>
      <c r="B11" s="6" t="s">
        <v>19</v>
      </c>
      <c r="C11" s="6" t="s">
        <v>15</v>
      </c>
      <c r="D11" s="7" t="s">
        <v>20</v>
      </c>
      <c r="E11" s="8"/>
      <c r="F11" s="8">
        <v>1085301.31</v>
      </c>
      <c r="G11" s="8">
        <v>15008.85</v>
      </c>
      <c r="H11" s="8">
        <v>389647.94</v>
      </c>
      <c r="I11" s="8"/>
      <c r="J11" s="8">
        <f>F11+G11+H11</f>
        <v>1489958.1</v>
      </c>
      <c r="K11" s="9"/>
      <c r="L11" s="9"/>
      <c r="M11" s="9">
        <f>J11+K11+L11</f>
        <v>1489958.1</v>
      </c>
    </row>
    <row r="12" spans="1:13" ht="20.100000000000001" customHeight="1" x14ac:dyDescent="0.25">
      <c r="A12" s="64"/>
      <c r="B12" s="10"/>
      <c r="C12" s="6"/>
      <c r="D12" s="11" t="s">
        <v>17</v>
      </c>
      <c r="E12" s="8"/>
      <c r="F12" s="8"/>
      <c r="G12" s="12"/>
      <c r="H12" s="12"/>
      <c r="I12" s="12"/>
      <c r="J12" s="13"/>
      <c r="K12" s="17"/>
      <c r="L12" s="17"/>
      <c r="M12" s="9">
        <f>M11*1.042</f>
        <v>1552536.3402000002</v>
      </c>
    </row>
    <row r="13" spans="1:13" ht="20.100000000000001" customHeight="1" x14ac:dyDescent="0.25">
      <c r="A13" s="64"/>
      <c r="B13" s="10"/>
      <c r="C13" s="11"/>
      <c r="D13" s="11" t="s">
        <v>21</v>
      </c>
      <c r="E13" s="8"/>
      <c r="F13" s="12"/>
      <c r="G13" s="12"/>
      <c r="H13" s="12"/>
      <c r="I13" s="12"/>
      <c r="J13" s="13"/>
      <c r="K13" s="17"/>
      <c r="L13" s="17"/>
      <c r="M13" s="14">
        <f>M12*1.04</f>
        <v>1614637.7938080002</v>
      </c>
    </row>
    <row r="14" spans="1:13" ht="20.100000000000001" customHeight="1" x14ac:dyDescent="0.25">
      <c r="A14" s="64"/>
      <c r="B14" s="3" t="s">
        <v>22</v>
      </c>
      <c r="C14" s="4"/>
      <c r="D14" s="4"/>
      <c r="E14" s="4"/>
      <c r="F14" s="4"/>
      <c r="G14" s="4"/>
      <c r="H14" s="4"/>
      <c r="I14" s="4"/>
      <c r="J14" s="4"/>
      <c r="K14" s="2"/>
      <c r="L14" s="2"/>
      <c r="M14" s="5"/>
    </row>
    <row r="15" spans="1:13" ht="29.25" customHeight="1" x14ac:dyDescent="0.25">
      <c r="A15" s="64"/>
      <c r="B15" s="6" t="s">
        <v>23</v>
      </c>
      <c r="C15" s="6" t="s">
        <v>15</v>
      </c>
      <c r="D15" s="7" t="s">
        <v>24</v>
      </c>
      <c r="E15" s="8"/>
      <c r="F15" s="8">
        <v>1126585.79</v>
      </c>
      <c r="G15" s="8">
        <v>15526.48</v>
      </c>
      <c r="H15" s="8">
        <v>404073.49</v>
      </c>
      <c r="I15" s="8"/>
      <c r="J15" s="8">
        <f>F15+G15+H15</f>
        <v>1546185.76</v>
      </c>
      <c r="K15" s="9"/>
      <c r="L15" s="9"/>
      <c r="M15" s="9">
        <f>J15+K15+L15</f>
        <v>1546185.76</v>
      </c>
    </row>
    <row r="16" spans="1:13" ht="20.100000000000001" customHeight="1" x14ac:dyDescent="0.25">
      <c r="A16" s="64"/>
      <c r="B16" s="10"/>
      <c r="C16" s="6"/>
      <c r="D16" s="11" t="s">
        <v>17</v>
      </c>
      <c r="E16" s="8"/>
      <c r="F16" s="8"/>
      <c r="G16" s="12"/>
      <c r="H16" s="12"/>
      <c r="I16" s="12"/>
      <c r="J16" s="13"/>
      <c r="K16" s="17"/>
      <c r="L16" s="17"/>
      <c r="M16" s="9">
        <f>M15*1.042</f>
        <v>1611125.56192</v>
      </c>
    </row>
    <row r="17" spans="1:13" ht="20.100000000000001" customHeight="1" x14ac:dyDescent="0.25">
      <c r="A17" s="64"/>
      <c r="B17" s="10"/>
      <c r="C17" s="11"/>
      <c r="D17" s="11" t="s">
        <v>21</v>
      </c>
      <c r="E17" s="8"/>
      <c r="F17" s="12"/>
      <c r="G17" s="12"/>
      <c r="H17" s="12"/>
      <c r="I17" s="12"/>
      <c r="J17" s="13"/>
      <c r="K17" s="17"/>
      <c r="L17" s="17"/>
      <c r="M17" s="9">
        <f>M16*1.04</f>
        <v>1675570.5843968</v>
      </c>
    </row>
    <row r="18" spans="1:13" ht="20.100000000000001" customHeight="1" x14ac:dyDescent="0.25">
      <c r="A18" s="64"/>
      <c r="B18" s="6"/>
      <c r="C18" s="6"/>
      <c r="D18" s="11" t="s">
        <v>25</v>
      </c>
      <c r="E18" s="8"/>
      <c r="F18" s="12"/>
      <c r="G18" s="12"/>
      <c r="H18" s="12"/>
      <c r="I18" s="12"/>
      <c r="J18" s="13"/>
      <c r="K18" s="17"/>
      <c r="L18" s="17"/>
      <c r="M18" s="14">
        <f>M17*1.039-0.01</f>
        <v>1740917.8271882751</v>
      </c>
    </row>
    <row r="19" spans="1:13" ht="20.100000000000001" customHeight="1" x14ac:dyDescent="0.25">
      <c r="A19" s="64"/>
      <c r="B19" s="3" t="s">
        <v>26</v>
      </c>
      <c r="C19" s="4"/>
      <c r="D19" s="4"/>
      <c r="E19" s="4"/>
      <c r="F19" s="4"/>
      <c r="G19" s="4"/>
      <c r="H19" s="4"/>
      <c r="I19" s="4"/>
      <c r="J19" s="4"/>
      <c r="K19" s="2"/>
      <c r="L19" s="2"/>
      <c r="M19" s="5"/>
    </row>
    <row r="20" spans="1:13" ht="27.75" customHeight="1" x14ac:dyDescent="0.25">
      <c r="A20" s="64"/>
      <c r="B20" s="6" t="s">
        <v>27</v>
      </c>
      <c r="C20" s="6" t="s">
        <v>15</v>
      </c>
      <c r="D20" s="7" t="s">
        <v>28</v>
      </c>
      <c r="E20" s="8"/>
      <c r="F20" s="8">
        <v>1804892.41</v>
      </c>
      <c r="G20" s="8">
        <v>27797.69</v>
      </c>
      <c r="H20" s="8">
        <v>609868.82999999996</v>
      </c>
      <c r="I20" s="8"/>
      <c r="J20" s="8">
        <f>F20+G20+H20</f>
        <v>2442558.9299999997</v>
      </c>
      <c r="K20" s="9"/>
      <c r="L20" s="9"/>
      <c r="M20" s="9">
        <f>J20+K20+L20</f>
        <v>2442558.9299999997</v>
      </c>
    </row>
    <row r="21" spans="1:13" ht="20.100000000000001" customHeight="1" x14ac:dyDescent="0.25">
      <c r="A21" s="64"/>
      <c r="B21" s="10"/>
      <c r="C21" s="6"/>
      <c r="D21" s="11" t="s">
        <v>17</v>
      </c>
      <c r="E21" s="8"/>
      <c r="F21" s="8"/>
      <c r="G21" s="12"/>
      <c r="H21" s="12"/>
      <c r="I21" s="12"/>
      <c r="J21" s="13"/>
      <c r="K21" s="17"/>
      <c r="L21" s="17"/>
      <c r="M21" s="9">
        <f>M20*1.042</f>
        <v>2545146.4050599998</v>
      </c>
    </row>
    <row r="22" spans="1:13" ht="20.100000000000001" customHeight="1" x14ac:dyDescent="0.25">
      <c r="A22" s="64"/>
      <c r="B22" s="10"/>
      <c r="C22" s="11"/>
      <c r="D22" s="11" t="s">
        <v>21</v>
      </c>
      <c r="E22" s="8"/>
      <c r="F22" s="12"/>
      <c r="G22" s="12"/>
      <c r="H22" s="12"/>
      <c r="I22" s="12"/>
      <c r="J22" s="13"/>
      <c r="K22" s="17"/>
      <c r="L22" s="17"/>
      <c r="M22" s="9">
        <f>M21*1.04</f>
        <v>2646952.2612624001</v>
      </c>
    </row>
    <row r="23" spans="1:13" ht="20.100000000000001" customHeight="1" x14ac:dyDescent="0.25">
      <c r="A23" s="64"/>
      <c r="B23" s="6"/>
      <c r="C23" s="6"/>
      <c r="D23" s="11" t="s">
        <v>25</v>
      </c>
      <c r="E23" s="8"/>
      <c r="F23" s="12"/>
      <c r="G23" s="12"/>
      <c r="H23" s="12"/>
      <c r="I23" s="12"/>
      <c r="J23" s="13"/>
      <c r="K23" s="17"/>
      <c r="L23" s="17"/>
      <c r="M23" s="9">
        <f>M22*1.039-0.01</f>
        <v>2750183.3894516337</v>
      </c>
    </row>
    <row r="24" spans="1:13" ht="20.100000000000001" customHeight="1" x14ac:dyDescent="0.25">
      <c r="A24" s="64"/>
      <c r="B24" s="6"/>
      <c r="C24" s="11" t="s">
        <v>29</v>
      </c>
      <c r="D24" s="11" t="s">
        <v>30</v>
      </c>
      <c r="E24" s="8"/>
      <c r="F24" s="12"/>
      <c r="G24" s="12"/>
      <c r="H24" s="12"/>
      <c r="I24" s="12"/>
      <c r="J24" s="13"/>
      <c r="K24" s="17"/>
      <c r="L24" s="17"/>
      <c r="M24" s="14">
        <f>M23*1.039+0.02</f>
        <v>2857440.5616402472</v>
      </c>
    </row>
    <row r="25" spans="1:13" ht="20.100000000000001" customHeight="1" x14ac:dyDescent="0.25">
      <c r="A25" s="64"/>
      <c r="B25" s="3" t="s">
        <v>31</v>
      </c>
      <c r="C25" s="4"/>
      <c r="D25" s="4"/>
      <c r="E25" s="4"/>
      <c r="F25" s="4"/>
      <c r="G25" s="4"/>
      <c r="H25" s="4"/>
      <c r="I25" s="4"/>
      <c r="J25" s="4"/>
      <c r="K25" s="2"/>
      <c r="L25" s="2"/>
      <c r="M25" s="5"/>
    </row>
    <row r="26" spans="1:13" ht="27.75" customHeight="1" x14ac:dyDescent="0.25">
      <c r="A26" s="64"/>
      <c r="B26" s="6" t="s">
        <v>27</v>
      </c>
      <c r="C26" s="6" t="s">
        <v>15</v>
      </c>
      <c r="D26" s="7" t="s">
        <v>32</v>
      </c>
      <c r="E26" s="8"/>
      <c r="F26" s="8">
        <v>2038056.77</v>
      </c>
      <c r="G26" s="8">
        <v>28074.880000000001</v>
      </c>
      <c r="H26" s="8">
        <v>788399.82</v>
      </c>
      <c r="I26" s="8"/>
      <c r="J26" s="8">
        <f>F26+G26+H26</f>
        <v>2854531.4699999997</v>
      </c>
      <c r="K26" s="9"/>
      <c r="L26" s="9"/>
      <c r="M26" s="9">
        <f>J26+K26+L26</f>
        <v>2854531.4699999997</v>
      </c>
    </row>
    <row r="27" spans="1:13" ht="20.100000000000001" customHeight="1" x14ac:dyDescent="0.25">
      <c r="A27" s="64"/>
      <c r="B27" s="10"/>
      <c r="C27" s="6"/>
      <c r="D27" s="11" t="s">
        <v>17</v>
      </c>
      <c r="E27" s="8"/>
      <c r="F27" s="8"/>
      <c r="G27" s="12"/>
      <c r="H27" s="12"/>
      <c r="I27" s="12"/>
      <c r="J27" s="13"/>
      <c r="K27" s="17"/>
      <c r="L27" s="17"/>
      <c r="M27" s="9">
        <f>M26*1.042</f>
        <v>2974421.7917399998</v>
      </c>
    </row>
    <row r="28" spans="1:13" ht="20.100000000000001" customHeight="1" x14ac:dyDescent="0.25">
      <c r="A28" s="64"/>
      <c r="B28" s="10"/>
      <c r="C28" s="11"/>
      <c r="D28" s="11" t="s">
        <v>21</v>
      </c>
      <c r="E28" s="8"/>
      <c r="F28" s="12"/>
      <c r="G28" s="12"/>
      <c r="H28" s="12"/>
      <c r="I28" s="12"/>
      <c r="J28" s="13"/>
      <c r="K28" s="17"/>
      <c r="L28" s="17"/>
      <c r="M28" s="9">
        <f>M27*1.04</f>
        <v>3093398.6634096</v>
      </c>
    </row>
    <row r="29" spans="1:13" ht="20.100000000000001" customHeight="1" x14ac:dyDescent="0.25">
      <c r="A29" s="64"/>
      <c r="B29" s="6"/>
      <c r="C29" s="6"/>
      <c r="D29" s="11" t="s">
        <v>25</v>
      </c>
      <c r="E29" s="8"/>
      <c r="F29" s="12"/>
      <c r="G29" s="12"/>
      <c r="H29" s="12"/>
      <c r="I29" s="12"/>
      <c r="J29" s="13"/>
      <c r="K29" s="17"/>
      <c r="L29" s="17"/>
      <c r="M29" s="9">
        <f>M28*1.039-0.01</f>
        <v>3214041.2012825743</v>
      </c>
    </row>
    <row r="30" spans="1:13" ht="20.100000000000001" customHeight="1" x14ac:dyDescent="0.25">
      <c r="A30" s="64"/>
      <c r="B30" s="6"/>
      <c r="C30" s="11" t="s">
        <v>29</v>
      </c>
      <c r="D30" s="11" t="s">
        <v>30</v>
      </c>
      <c r="E30" s="8"/>
      <c r="F30" s="12"/>
      <c r="G30" s="12"/>
      <c r="H30" s="12"/>
      <c r="I30" s="12"/>
      <c r="J30" s="13"/>
      <c r="K30" s="17"/>
      <c r="L30" s="17"/>
      <c r="M30" s="9">
        <f>M29*1.039+0.01</f>
        <v>3339388.8181325942</v>
      </c>
    </row>
    <row r="31" spans="1:13" ht="20.100000000000001" customHeight="1" x14ac:dyDescent="0.25">
      <c r="A31" s="64"/>
      <c r="B31" s="6"/>
      <c r="C31" s="6"/>
      <c r="D31" s="11" t="s">
        <v>33</v>
      </c>
      <c r="E31" s="8"/>
      <c r="F31" s="12"/>
      <c r="G31" s="12"/>
      <c r="H31" s="12"/>
      <c r="I31" s="12"/>
      <c r="J31" s="13"/>
      <c r="K31" s="17"/>
      <c r="L31" s="17"/>
      <c r="M31" s="14">
        <f>M30*1.039</f>
        <v>3469624.982039765</v>
      </c>
    </row>
    <row r="32" spans="1:13" ht="20.100000000000001" customHeight="1" x14ac:dyDescent="0.25">
      <c r="A32" s="64"/>
      <c r="B32" s="6"/>
      <c r="C32" s="6"/>
      <c r="D32" s="11"/>
      <c r="E32" s="15"/>
      <c r="F32" s="15"/>
      <c r="G32" s="15"/>
      <c r="H32" s="15"/>
      <c r="I32" s="13"/>
      <c r="J32" s="13"/>
      <c r="K32" s="13"/>
      <c r="L32" s="13"/>
      <c r="M32" s="13"/>
    </row>
    <row r="33" spans="1:13" ht="20.100000000000001" customHeight="1" x14ac:dyDescent="0.25">
      <c r="A33" s="64"/>
      <c r="B33" s="6"/>
      <c r="C33" s="6"/>
      <c r="D33" s="11" t="s">
        <v>34</v>
      </c>
      <c r="E33" s="15"/>
      <c r="F33" s="15"/>
      <c r="G33" s="15"/>
      <c r="H33" s="15"/>
      <c r="I33" s="13"/>
      <c r="J33" s="13"/>
      <c r="K33" s="13"/>
      <c r="L33" s="13"/>
      <c r="M33" s="13">
        <f>M9+M13+M18+M24+M31</f>
        <v>13098824.802216286</v>
      </c>
    </row>
    <row r="34" spans="1:13" ht="20.100000000000001" customHeight="1" x14ac:dyDescent="0.25">
      <c r="A34" s="64"/>
      <c r="B34" s="16" t="s">
        <v>35</v>
      </c>
      <c r="C34" s="4"/>
      <c r="D34" s="4"/>
      <c r="E34" s="4"/>
      <c r="F34" s="4"/>
      <c r="G34" s="4"/>
      <c r="H34" s="4"/>
      <c r="I34" s="4"/>
      <c r="J34" s="4"/>
      <c r="K34" s="17"/>
      <c r="L34" s="17"/>
      <c r="M34" s="17"/>
    </row>
    <row r="35" spans="1:13" ht="20.100000000000001" customHeight="1" x14ac:dyDescent="0.25">
      <c r="A35" s="64"/>
      <c r="B35" s="6"/>
      <c r="C35" s="6" t="s">
        <v>36</v>
      </c>
      <c r="D35" s="6" t="s">
        <v>37</v>
      </c>
      <c r="E35" s="12"/>
      <c r="F35" s="12"/>
      <c r="G35" s="12"/>
      <c r="H35" s="12"/>
      <c r="I35" s="12"/>
      <c r="J35" s="8"/>
      <c r="K35" s="8"/>
      <c r="L35" s="8"/>
      <c r="M35" s="8">
        <f>M33*20%</f>
        <v>2619764.9604432574</v>
      </c>
    </row>
    <row r="36" spans="1:13" ht="20.100000000000001" customHeight="1" x14ac:dyDescent="0.25">
      <c r="A36" s="64"/>
      <c r="B36" s="6" t="s">
        <v>29</v>
      </c>
      <c r="C36" s="11" t="s">
        <v>29</v>
      </c>
      <c r="D36" s="11" t="s">
        <v>38</v>
      </c>
      <c r="E36" s="8"/>
      <c r="F36" s="12"/>
      <c r="G36" s="12"/>
      <c r="H36" s="12"/>
      <c r="I36" s="12"/>
      <c r="J36" s="13"/>
      <c r="K36" s="17"/>
      <c r="L36" s="17"/>
      <c r="M36" s="14">
        <f>M33+M35</f>
        <v>15718589.762659542</v>
      </c>
    </row>
    <row r="37" spans="1:13" ht="20.100000000000001" customHeight="1" x14ac:dyDescent="0.25">
      <c r="A37" s="64"/>
      <c r="B37" s="18"/>
      <c r="C37" s="19"/>
      <c r="D37" s="19"/>
      <c r="E37" s="20"/>
      <c r="F37" s="21"/>
      <c r="G37" s="21"/>
      <c r="H37" s="21"/>
      <c r="I37" s="21"/>
      <c r="J37" s="22"/>
      <c r="K37" s="65"/>
      <c r="L37" s="65"/>
      <c r="M37" s="23"/>
    </row>
    <row r="38" spans="1:13" ht="20.100000000000001" customHeight="1" x14ac:dyDescent="0.25">
      <c r="A38" s="64"/>
      <c r="B38" s="18"/>
      <c r="C38" s="19"/>
      <c r="D38" s="19"/>
      <c r="E38" s="20"/>
      <c r="F38" s="21"/>
      <c r="G38" s="21"/>
      <c r="H38" s="21"/>
      <c r="I38" s="21"/>
      <c r="J38" s="22"/>
      <c r="K38" s="65"/>
      <c r="L38" s="65"/>
      <c r="M38" s="23"/>
    </row>
    <row r="39" spans="1:13" ht="20.100000000000001" customHeight="1" x14ac:dyDescent="0.25">
      <c r="A39" s="64"/>
      <c r="B39" s="18"/>
      <c r="C39" s="19"/>
      <c r="D39" s="19"/>
      <c r="E39" s="20"/>
      <c r="F39" s="21"/>
      <c r="G39" s="21"/>
      <c r="H39" s="21"/>
      <c r="I39" s="21"/>
      <c r="J39" s="22"/>
      <c r="K39" s="65"/>
      <c r="L39" s="65"/>
      <c r="M39" s="23"/>
    </row>
    <row r="40" spans="1:13" x14ac:dyDescent="0.25">
      <c r="A40" s="64"/>
      <c r="B40" s="24" t="s">
        <v>39</v>
      </c>
      <c r="D40" s="66"/>
      <c r="E40" s="64"/>
      <c r="F40" s="64" t="s">
        <v>40</v>
      </c>
      <c r="G40" s="64"/>
      <c r="H40" s="67"/>
      <c r="I40" s="67"/>
      <c r="J40" s="67"/>
      <c r="K40" s="64"/>
    </row>
    <row r="41" spans="1:13" hidden="1" x14ac:dyDescent="0.25">
      <c r="B41" s="25" t="s">
        <v>41</v>
      </c>
      <c r="C41" s="24"/>
      <c r="D41" s="67"/>
      <c r="E41" s="67"/>
      <c r="F41" s="67"/>
      <c r="G41" s="26"/>
      <c r="H41" s="27"/>
      <c r="I41" s="27"/>
      <c r="J41" s="67"/>
      <c r="K41" s="64"/>
    </row>
    <row r="42" spans="1:13" hidden="1" x14ac:dyDescent="0.25">
      <c r="B42" s="24"/>
      <c r="C42" s="24"/>
      <c r="D42" s="28"/>
      <c r="E42" s="28"/>
      <c r="F42" s="28"/>
      <c r="G42" s="28"/>
      <c r="H42" s="28"/>
      <c r="I42" s="28"/>
      <c r="J42" s="28"/>
      <c r="K42" s="64"/>
    </row>
    <row r="43" spans="1:13" hidden="1" x14ac:dyDescent="0.25">
      <c r="B43" s="25" t="s">
        <v>42</v>
      </c>
      <c r="C43" s="24"/>
      <c r="D43" s="29"/>
      <c r="E43" s="67"/>
      <c r="F43" s="29"/>
      <c r="G43" s="29"/>
      <c r="H43" s="67"/>
      <c r="I43" s="67"/>
      <c r="J43" s="67"/>
      <c r="K43" s="64"/>
    </row>
    <row r="44" spans="1:13" hidden="1" x14ac:dyDescent="0.25">
      <c r="B44" s="24"/>
      <c r="C44" s="24"/>
      <c r="D44" s="28"/>
      <c r="E44" s="28"/>
      <c r="F44" s="28"/>
      <c r="G44" s="28"/>
      <c r="H44" s="28"/>
      <c r="I44" s="28"/>
      <c r="J44" s="28"/>
      <c r="K44" s="64"/>
    </row>
    <row r="45" spans="1:13" hidden="1" x14ac:dyDescent="0.25">
      <c r="B45" s="25" t="s">
        <v>43</v>
      </c>
      <c r="C45" s="24"/>
      <c r="D45" s="29"/>
      <c r="E45" s="29"/>
      <c r="F45" s="29"/>
      <c r="G45" s="29"/>
      <c r="H45" s="67"/>
      <c r="I45" s="67"/>
      <c r="J45" s="67"/>
      <c r="K45" s="64"/>
    </row>
    <row r="46" spans="1:13" hidden="1" x14ac:dyDescent="0.25">
      <c r="B46" s="24"/>
      <c r="C46" s="24"/>
      <c r="D46" s="30"/>
      <c r="E46" s="28"/>
      <c r="F46" s="28"/>
      <c r="G46" s="28"/>
      <c r="H46" s="28"/>
      <c r="I46" s="28"/>
      <c r="J46" s="28"/>
      <c r="K46" s="64"/>
    </row>
    <row r="47" spans="1:13" hidden="1" x14ac:dyDescent="0.25">
      <c r="B47" s="25" t="s">
        <v>44</v>
      </c>
      <c r="C47" s="24"/>
      <c r="D47" s="26"/>
      <c r="E47" s="26"/>
      <c r="F47" s="67"/>
      <c r="G47" s="26"/>
      <c r="H47" s="27"/>
      <c r="I47" s="27"/>
      <c r="J47" s="67"/>
      <c r="K47" s="64"/>
    </row>
    <row r="48" spans="1:13" x14ac:dyDescent="0.25">
      <c r="B48" s="24"/>
      <c r="C48" s="24"/>
      <c r="D48" s="31"/>
      <c r="E48" s="31"/>
      <c r="F48" s="31"/>
      <c r="G48" s="31"/>
      <c r="H48" s="28"/>
      <c r="I48" s="28"/>
      <c r="J48" s="28"/>
      <c r="K48" s="64"/>
    </row>
    <row r="49" spans="2:10" x14ac:dyDescent="0.25">
      <c r="B49" s="24"/>
      <c r="C49" s="24"/>
      <c r="D49" s="24"/>
      <c r="E49" s="24"/>
      <c r="F49" s="24"/>
      <c r="G49" s="24"/>
      <c r="H49" s="24"/>
      <c r="I49" s="24"/>
      <c r="J49" s="24"/>
    </row>
    <row r="53" spans="2:10" x14ac:dyDescent="0.25">
      <c r="C53" s="24"/>
      <c r="D53" s="24"/>
      <c r="E53" s="24"/>
      <c r="F53" s="24"/>
      <c r="G53" s="24"/>
    </row>
  </sheetData>
  <mergeCells count="21">
    <mergeCell ref="B1:M1"/>
    <mergeCell ref="B10:J10"/>
    <mergeCell ref="B14:J14"/>
    <mergeCell ref="B19:J19"/>
    <mergeCell ref="B25:J25"/>
    <mergeCell ref="B34:J34"/>
    <mergeCell ref="D48:G48"/>
    <mergeCell ref="I3:I5"/>
    <mergeCell ref="J3:J5"/>
    <mergeCell ref="K3:K5"/>
    <mergeCell ref="L3:L5"/>
    <mergeCell ref="M3:M5"/>
    <mergeCell ref="B7:J7"/>
    <mergeCell ref="B2:B5"/>
    <mergeCell ref="C2:C5"/>
    <mergeCell ref="D2:D5"/>
    <mergeCell ref="E2:M2"/>
    <mergeCell ref="E3:E5"/>
    <mergeCell ref="F3:F5"/>
    <mergeCell ref="G3:G5"/>
    <mergeCell ref="H3:H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 2025_2029</vt:lpstr>
      <vt:lpstr>установка ПУ 2025_2029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2025-03-03T13:30:54Z</dcterms:modified>
</cp:coreProperties>
</file>